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666" i="1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0"/>
  <c r="U640"/>
  <c r="V639"/>
  <c r="U639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V498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V473"/>
  <c r="U473"/>
  <c r="V472"/>
  <c r="U472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4"/>
  <c r="U454"/>
  <c r="V453"/>
  <c r="U453"/>
  <c r="V452"/>
  <c r="U452"/>
  <c r="V451"/>
  <c r="U451"/>
  <c r="V450"/>
  <c r="U450"/>
  <c r="U449"/>
  <c r="V448"/>
  <c r="U448"/>
  <c r="V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V354"/>
  <c r="U354"/>
  <c r="V353"/>
  <c r="U353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5"/>
  <c r="U235"/>
  <c r="U234"/>
  <c r="V233"/>
  <c r="U233"/>
  <c r="V232"/>
  <c r="U232"/>
  <c r="V231"/>
  <c r="U231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V216"/>
  <c r="U216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A5"/>
  <c r="A4"/>
</calcChain>
</file>

<file path=xl/sharedStrings.xml><?xml version="1.0" encoding="utf-8"?>
<sst xmlns="http://schemas.openxmlformats.org/spreadsheetml/2006/main" count="10412" uniqueCount="4190">
  <si>
    <t>ИНФРА-М Научно-издательский Центр</t>
  </si>
  <si>
    <t>12. Финансы и бухучет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</si>
  <si>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</si>
  <si>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</si>
  <si>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</si>
  <si>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</si>
  <si>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</si>
  <si>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</si>
  <si>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</si>
  <si>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</si>
  <si>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</si>
  <si>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</si>
  <si>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</si>
  <si>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</si>
  <si>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</si>
  <si>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</si>
  <si>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</si>
  <si>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</si>
  <si>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</si>
  <si>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</si>
  <si>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</si>
  <si>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</si>
  <si>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</si>
  <si>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</si>
  <si>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</si>
  <si>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</si>
  <si>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</si>
  <si>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</si>
  <si>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</si>
  <si>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</si>
  <si>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</si>
  <si>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</si>
  <si>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</si>
  <si>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417750.03.01</t>
  </si>
  <si>
    <t>Аккредитивное правоотношение..: Моногр. /К.В.Карашев-М.:ИЦ РИОР,НИЦ ИНФРА-М,2017-263с(Науч.мысль)(О)</t>
  </si>
  <si>
    <t>АККРЕДИТИВНОЕ ПРАВООТНОШЕНИЕ: ПОНЯТИЕ, СУЩНОСТЬ, СРАВНИТЕЛЬНО-ПРАВОВОЙ АНАЛИЗ</t>
  </si>
  <si>
    <t>Карашев К. В.</t>
  </si>
  <si>
    <t>Обложка. КБС</t>
  </si>
  <si>
    <t>ИЦ РИОР</t>
  </si>
  <si>
    <t>Научная мысль</t>
  </si>
  <si>
    <t>978-5-369-01171-3</t>
  </si>
  <si>
    <t>ОБЩЕСТВЕННЫЕ НАУКИ.  ЭКОНОМИКА. ПРАВО</t>
  </si>
  <si>
    <t>Право. Юридические науки</t>
  </si>
  <si>
    <t>Монография</t>
  </si>
  <si>
    <t>Дополнительное образование / Дополнительное профессиональное образование</t>
  </si>
  <si>
    <t>40.03.01, 40.04.01, 38.04.01, 38.03.01, 44.03.05</t>
  </si>
  <si>
    <t>Государственная Дума Федерального Собрания Российской Федерации</t>
  </si>
  <si>
    <t>0113</t>
  </si>
  <si>
    <t>746318.04.01</t>
  </si>
  <si>
    <t>Актуальные пробл. блокчейн-технологий в..: Уч.пос. / Л.Л.Арзуманова.-М.:Юр.Норма, НИЦ ИНФРА-М,2023.-96 с.(О)</t>
  </si>
  <si>
    <t>АКТУАЛЬНЫЕ ПРОБЛЕМЫ БЛОКЧЕЙН-ТЕХНОЛОГИЙ В ФИНАНСОВОМ ПРАВЕ</t>
  </si>
  <si>
    <t>Арзуманова Л.Л., Грачева Е.Ю., Чернобровкина Е.Б. и др.</t>
  </si>
  <si>
    <t>Юр. НОРМА</t>
  </si>
  <si>
    <t>978-5-00156-108-8</t>
  </si>
  <si>
    <t>Учебное пособие</t>
  </si>
  <si>
    <t>Профессиональное образование / ВО - Магистратура</t>
  </si>
  <si>
    <t>40.03.01, 40.04.01</t>
  </si>
  <si>
    <t>Московский государственный юридический университет им. О.Е. Кутафина</t>
  </si>
  <si>
    <t>0121</t>
  </si>
  <si>
    <t>650156.04.01</t>
  </si>
  <si>
    <t>Актуальные проблемы налогового права: Уч. / Е.Л.Васянина-М.:НИЦ ИНФРА-М,2023.-330 с.(ВО: Магистр.)(П)</t>
  </si>
  <si>
    <t>АКТУАЛЬНЫЕ ПРОБЛЕМЫ НАЛОГОВОГО ПРАВА</t>
  </si>
  <si>
    <t>Васянина Е.Л., Запольский С.В.</t>
  </si>
  <si>
    <t>Переплет 7БЦ/Без шитья</t>
  </si>
  <si>
    <t>НИЦ ИНФРА-М</t>
  </si>
  <si>
    <t>Высшее образование: Магистратура</t>
  </si>
  <si>
    <t>978-5-16-013746-9</t>
  </si>
  <si>
    <t>Учебник</t>
  </si>
  <si>
    <t>40.05.04, 40.04.01, 40.05.01, 40.05.02, 40.05.03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</si>
  <si>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38.04.01 «Экономика», 40.04.01 «Юриспруденция» (квалификация (степень) «магистр»)</t>
  </si>
  <si>
    <t>Санкт-Петербургский государственный экономический университет</t>
  </si>
  <si>
    <t>0118</t>
  </si>
  <si>
    <t>388000.05.01</t>
  </si>
  <si>
    <t>Актуальные проблемы финансового права: Моногр. / Е.Ю.Грачева - М.:Юр.Норма,НИЦ ИНФРА-М,2024-208с.(П)</t>
  </si>
  <si>
    <t>АКТУАЛЬНЫЕ ПРОБЛЕМЫ ФИНАНСОВОГО ПРАВА</t>
  </si>
  <si>
    <t>Грачева Е.Ю.</t>
  </si>
  <si>
    <t>978-5-91768-733-9</t>
  </si>
  <si>
    <t>40.03.01, 38.04.09, 40.04.01</t>
  </si>
  <si>
    <t>0116</t>
  </si>
  <si>
    <t>268900.07.01</t>
  </si>
  <si>
    <t>Анализ денежных потоков орг.: Сб. зад.: Уч. пос./Н.А.Алексеева - М.: ИНФРА-М, 2023-159с.(ВО) (о)</t>
  </si>
  <si>
    <t>АНАЛИЗ ДЕНЕЖНЫХ ПОТОКОВ ОРГАНИЗАЦИИ: СБОРНИК ЗАДАЧ (С МЕТОДИЧЕСКИМИ РЕКОМЕНДАЦИЯМИ И ОТВЕТАМИ К РЕШЕНИЮ ЗАДАЧ)</t>
  </si>
  <si>
    <t>Алексеева Н. А.</t>
  </si>
  <si>
    <t>Высшее образование: Бакалавриат</t>
  </si>
  <si>
    <t>978-5-16-009623-0</t>
  </si>
  <si>
    <t>Управление (менеджмент)</t>
  </si>
  <si>
    <t>Профессиональное образование / ВО - Бакалавриат</t>
  </si>
  <si>
    <t>38.04.09, 38.04.07, 38.04.01, 38.04.08, 38.04.06, 38.04.02, 38.04.04, 38.05.01, 38.05.02, 38.03.01, 38.03.06, 38.03.07, 38.03.02, 38.03.04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</si>
  <si>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 (уровень бакалавриата)</t>
  </si>
  <si>
    <t>Удмуртский государственный аграрный университет</t>
  </si>
  <si>
    <t>0114</t>
  </si>
  <si>
    <t>665718.01.01</t>
  </si>
  <si>
    <t>Анализ деятельности коммерческого банка: Уч. / А.А.Казимагомедов-2 изд.-М.:НИЦ ИНФРА-М,2023-421с.(П)</t>
  </si>
  <si>
    <t>АНАЛИЗ ДЕЯТЕЛЬНОСТИ КОММЕРЧЕСКОГО БАНКА, ИЗД.2</t>
  </si>
  <si>
    <t>Казимагомедов А.А., Абдулсаламова А.А., Казимагомедов А.А.</t>
  </si>
  <si>
    <t>Переплет 7БЦ</t>
  </si>
  <si>
    <t>978-5-16-017219-4</t>
  </si>
  <si>
    <t>Экономика. Бухгалтерский учет. Финансы</t>
  </si>
  <si>
    <t>38.04.01, 38.04.08, 38.03.01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</si>
  <si>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специальности «Финансы и кредит»</t>
  </si>
  <si>
    <t>Дагестанский государственный университет</t>
  </si>
  <si>
    <t>0223</t>
  </si>
  <si>
    <t>734725.01.01</t>
  </si>
  <si>
    <t>Анализ и обоснование финансовых решений: Уч. / Е.Б.Герасимова-М.:НИЦ ИНФРА-М,2023.-220 с.(ВО)(П)</t>
  </si>
  <si>
    <t>АНАЛИЗ И ОБОСНОВАНИЕ ФИНАНСОВЫХ РЕШЕНИЙ</t>
  </si>
  <si>
    <t>Герасимова Е.Б.</t>
  </si>
  <si>
    <t>Высшее образование: Магистратура (Финуниверситет)</t>
  </si>
  <si>
    <t>978-5-16-016913-2</t>
  </si>
  <si>
    <t>38.04.01, 38.04.02, 38.04.05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</si>
  <si>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6 от 08.06.2022)</t>
  </si>
  <si>
    <t>Финансовый университет при Правительстве Российской Федерации</t>
  </si>
  <si>
    <t>Ноябрь, 2022</t>
  </si>
  <si>
    <t>0123</t>
  </si>
  <si>
    <t>297800.11.01</t>
  </si>
  <si>
    <t>Анализ финанс. отчетности, составл. по МСФО: Уч. / Н.С.Пласкова-3 изд.-М.:Вуз.уч.,НИЦ ИНФРА-М,2024-276с.(П)</t>
  </si>
  <si>
    <t>АНАЛИЗ ФИНАНСОВОЙ ОТЧЕТНОСТИ,  СОСТАВЛЕННОЙ ПО МСФО, ИЗД.3</t>
  </si>
  <si>
    <t>Пласкова Н.С.</t>
  </si>
  <si>
    <t>978-5-16-016377-2</t>
  </si>
  <si>
    <t>38.04.01, 38.04.08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</si>
  <si>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 (протокол № 9 от 28.09.2020)</t>
  </si>
  <si>
    <t>Российский экономический университет им. Г.В. Плеханова</t>
  </si>
  <si>
    <t>0321</t>
  </si>
  <si>
    <t>297800.07.01</t>
  </si>
  <si>
    <t>Анализ финансовой отчетности,  составл. по МСФО: Уч./ Н.С.Пласкова,-2 изд.-М.:Вуз. уч.,НИЦ ИНФРА-М,2020-269с.(П)</t>
  </si>
  <si>
    <t>АНАЛИЗ ФИНАНСОВОЙ ОТЧЕТНОСТИ,  СОСТАВЛЕННОЙ ПО МСФО, ИЗД.2</t>
  </si>
  <si>
    <t>Вузовский учебник</t>
  </si>
  <si>
    <t>978-5-9558-0489-7</t>
  </si>
  <si>
    <t>0217</t>
  </si>
  <si>
    <t>766502.02.01</t>
  </si>
  <si>
    <t>Анализ финансовой отчетности: Уч. / Е.В.Никифорова-М.:НИЦ ИНФРА-М,2023.-211 с.(ВО)(п)</t>
  </si>
  <si>
    <t>АНАЛИЗ ФИНАНСОВОЙ ОТЧЕТНОСТИ</t>
  </si>
  <si>
    <t>Никифорова Е.В., Боровицкая М.В., Куприянова Л.М. и др.</t>
  </si>
  <si>
    <t>Высшее образование (Финансовый университет)</t>
  </si>
  <si>
    <t>978-5-16-018591-0</t>
  </si>
  <si>
    <t>Профессиональное образование</t>
  </si>
  <si>
    <t>38.03.10, 38.04.02, 38.05.01, 38.05.02, 38.03.01, 38.03.06, 38.03.02, 38.03.04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</si>
  <si>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8 от 19.10.2022)</t>
  </si>
  <si>
    <t>082650.17.01</t>
  </si>
  <si>
    <t>Анализ финансовой отчетности: Уч. / Под ред. Вахрушиной М.А. - 4 изд.-М.:НИЦ ИНФРА-М,2023-434с(П)</t>
  </si>
  <si>
    <t>АНАЛИЗ ФИНАНСОВОЙ ОТЧЕТНОСТИ, ИЗД.4</t>
  </si>
  <si>
    <t>Вахрушина М.А., Антонова О.В., Друцкая М.В. и др.</t>
  </si>
  <si>
    <t>978-5-16-018431-9</t>
  </si>
  <si>
    <t>38.04.08, 38.03.01, 38.03.02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</si>
  <si>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10 от 27.05.2019)</t>
  </si>
  <si>
    <t>ДА</t>
  </si>
  <si>
    <t>0419</t>
  </si>
  <si>
    <t>082650.12.01</t>
  </si>
  <si>
    <t>Анализ финансовой отчетности: Уч. / Под ред. Вахрушиной М.А.-3 изд-М.:Вуз.уч.,НИЦ ИНФРА-М,2019-432с</t>
  </si>
  <si>
    <t>АНАЛИЗ ФИНАНСОВОЙ ОТЧЕТНОСТИ, ИЗД.3</t>
  </si>
  <si>
    <t>Вахрушина М. А., Пласкова Н. С.</t>
  </si>
  <si>
    <t>978-5-9558-0436-1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</si>
  <si>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специальности "Бухгалтерский учет, анализ и аудит"</t>
  </si>
  <si>
    <t>0315</t>
  </si>
  <si>
    <t>766874.02.01</t>
  </si>
  <si>
    <t>Анализ финансовой отчетности: Уч. / Ю.И.Сигидов.-М.:НИЦ ИНФРА-М,2023.-356 с.(ВО: Бакалавр.)(п)</t>
  </si>
  <si>
    <t>Сигидов Ю.И., Мороз Н.Ю., Оксанич Е.А. и др.</t>
  </si>
  <si>
    <t>978-5-16-017338-2</t>
  </si>
  <si>
    <t>38.03.10, 38.05.01, 38.05.02, 38.03.01, 38.03.05, 38.03.06, 38.03.07, 38.03.02, 38.03.04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</si>
  <si>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направлению подготовки 38.03.01 «Экономика»</t>
  </si>
  <si>
    <t>Кубанский государственный аграрный университет им. И.Т. Трубилина</t>
  </si>
  <si>
    <t>685066.03.01</t>
  </si>
  <si>
    <t>Анализ финансовой устойчивости банка: Уч. / Е.Б.Герасимова - М.:НИЦ ИНФРА-М,2023 - 366 с.-(ВО)(П)</t>
  </si>
  <si>
    <t>АНАЛИЗ ФИНАНСОВОЙ УСТОЙЧИВОСТИ БАНКА</t>
  </si>
  <si>
    <t>978-5-16-014227-2</t>
  </si>
  <si>
    <t>38.04.08, 38.04.02, 38.03.01, 38.03.02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</si>
  <si>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38.04.08 «Финансы и кредит» (квалификация (степень) «магистр»)</t>
  </si>
  <si>
    <t>0119</t>
  </si>
  <si>
    <t>457250.07.01</t>
  </si>
  <si>
    <t>Аналитическое моделир.финанс.сост.компании: Моногр. / Е.В.Негашев - М.:НИЦ ИНФРА-М,2022 - 186 с.(О)</t>
  </si>
  <si>
    <t>АНАЛИТИЧЕСКОЕ МОДЕЛИРОВАНИЕ ФИНАНСОВОГО СОСТОЯНИЯ КОМПАНИИ</t>
  </si>
  <si>
    <t>Негашев Е. В.</t>
  </si>
  <si>
    <t>978-5-16-009397-0</t>
  </si>
  <si>
    <t>38.04.01, 38.04.08, 38.04.02, 38.03.01, 38.03.02, 41.03.06</t>
  </si>
  <si>
    <t>231300.05.01</t>
  </si>
  <si>
    <t>Аналогия в налоговом праве: Моногр. / М.В.Юзвак - 2 изд. - М.:ИЦ РИОР,НИЦ ИНФРА-М,2022-138с.(Науч.мысль)(о)</t>
  </si>
  <si>
    <t>АНАЛОГИЯ В НАЛОГОВОМ ПРАВЕ, ИЗД.2</t>
  </si>
  <si>
    <t>Юзвак М.В., под ред. Щекина Д.М.</t>
  </si>
  <si>
    <t>978-5-369-01533-9</t>
  </si>
  <si>
    <t>40.03.01, 40.04.01, 44.03.05</t>
  </si>
  <si>
    <t>Московский государственный университет им. М.В. Ломоносова, юридический факультет</t>
  </si>
  <si>
    <t>0216</t>
  </si>
  <si>
    <t>678439.09.01</t>
  </si>
  <si>
    <t>Аудит в соответствии с международ. стандарт.: Уч. / Ю.Ю.Кочинев - М.:НИЦ ИНФРА-М,2024 - 413 с.(ВО)(П)</t>
  </si>
  <si>
    <t>АУДИТ В СООТВЕТСТВИИ С МЕЖДУНАРОДНЫМИ СТАНДАРТАМИ</t>
  </si>
  <si>
    <t>Кочинев Ю.Ю.</t>
  </si>
  <si>
    <t>Высшее образование</t>
  </si>
  <si>
    <t>978-5-16-019354-0</t>
  </si>
  <si>
    <t>38.02.01, 38.02.03, 38.04.09, 38.04.01, 38.03.01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</si>
  <si>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</si>
  <si>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Санкт-Петербургский государственный политехнический университет Петра Великого</t>
  </si>
  <si>
    <t>706235.02.01</t>
  </si>
  <si>
    <t>Аудит в соответствии с международными стандартами: Уч. /Ю.Ю.Кочинев-М.:НИЦ ИНФРА-М,2023-370с(СПО)(П)</t>
  </si>
  <si>
    <t>Среднее профессиональное образование</t>
  </si>
  <si>
    <t>978-5-16-015070-3</t>
  </si>
  <si>
    <t>Профессиональное образование / Среднее профессиональное образование</t>
  </si>
  <si>
    <t>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</si>
  <si>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</si>
  <si>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32</t>
  </si>
  <si>
    <t>636369.02.01</t>
  </si>
  <si>
    <t>Аудит для магистров по рос.и международ.стандартам: Уч. / Казакова Н.А.-М.:НИЦ ИНФРА-М,2018-345с.(П)</t>
  </si>
  <si>
    <t>АУДИТ ДЛЯ МАГИСТРОВ ПО РОССИЙСКИМ И МЕЖДУНАРОДНЫМ СТАНДАРТАМ</t>
  </si>
  <si>
    <t>Казакова Н.А.</t>
  </si>
  <si>
    <t>110 лет РЭУ им. Плеханова</t>
  </si>
  <si>
    <t>978-5-16-012166-6</t>
  </si>
  <si>
    <t>38.00.00, 38.04.09, 38.04.01, 38.04.06, 38.04.02, 38.04.04, 38.05.01, 38.03.01, 38.03.06, 38.03.02, 38.03.04</t>
  </si>
  <si>
    <t>Рекомендовано в качестве учебника для студентов высших учебных заведений, обучающихся по направлению подготовки 38.04.01 "Экономика" (квалификация (степень) "магистр")</t>
  </si>
  <si>
    <t>0117</t>
  </si>
  <si>
    <t>426800.08.01</t>
  </si>
  <si>
    <t>Аудит и анализ при банкротстве: теория и практика: Моногр. / М.В.Чернова-М.:НИЦ ИНФРА-М,2020-207с(О)</t>
  </si>
  <si>
    <t>АУДИТ И АНАЛИЗ ПРИ БАНКРОТСТВЕ: ТЕОРИЯ И ПРАКТИКА</t>
  </si>
  <si>
    <t>Чернова М. В.</t>
  </si>
  <si>
    <t>978-5-16-006029-3</t>
  </si>
  <si>
    <t>Российская академия народного хозяйства и государственной службы при Президенте РФ</t>
  </si>
  <si>
    <t>095280.07.01</t>
  </si>
  <si>
    <t>Аудит налогообложения: Уч.пос. / А.А.Савин, -3 изд.-М.:НИЦ ИНФРА-М,2022-594с.(ВО: Бак. (Финуниверситет)(П)</t>
  </si>
  <si>
    <t>АУДИТ НАЛОГООБЛОЖЕНИЯ, ИЗД.3</t>
  </si>
  <si>
    <t>Савин А.А., Савин А.А., Савин А.А.</t>
  </si>
  <si>
    <t>Высшее образование: Бакалавриат (Финуниверситет)</t>
  </si>
  <si>
    <t>978-5-16-016992-7</t>
  </si>
  <si>
    <t>38.04.09, 38.04.04, 38.03.01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</si>
  <si>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4 от 13.04.2022)</t>
  </si>
  <si>
    <t>0322</t>
  </si>
  <si>
    <t>682154.02.01</t>
  </si>
  <si>
    <t>Аудит налогообложения: Уч.пос. / М.М.Богданова - М.:НИЦ ИНФРА-М,2023 - 206 с.(ВО: Магистр.)(П)</t>
  </si>
  <si>
    <t>АУДИТ НАЛОГООБЛОЖЕНИЯ</t>
  </si>
  <si>
    <t>Богданова М.М.</t>
  </si>
  <si>
    <t>978-5-16-015837-2</t>
  </si>
  <si>
    <t>38.04.01, 38.03.01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</si>
  <si>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 (протокол № 11 от 09.11.2020)</t>
  </si>
  <si>
    <t>Финансовый университет при Правительстве Российской Федерации, Алтайский ф-л</t>
  </si>
  <si>
    <t>423450.07.01</t>
  </si>
  <si>
    <t>Аудит: расширяем границы науки (теор. и метод.): Моногр. /И.В.Федоренко -М.:НИЦ ИНФРА-М,2023.-100 с.(Науч. мысль)(О)</t>
  </si>
  <si>
    <t>АУДИТ: РАСШИРЯЕМ ГРАНИЦЫ НАУКИ (ТЕОРИЯ И МЕТОДОЛОГИЯ)</t>
  </si>
  <si>
    <t>Федоренко И. В.</t>
  </si>
  <si>
    <t>978-5-16-006575-5</t>
  </si>
  <si>
    <t>38.04.09, 38.04.01, 38.04.08, 38.04.02, 38.05.01, 38.03.01, 38.03.02</t>
  </si>
  <si>
    <t>Сибирский государственный университет науки и технологий им. академика М.Ф. Решетнева</t>
  </si>
  <si>
    <t>176500.13.01</t>
  </si>
  <si>
    <t>Аудит: Уч. / И.В.Федоренко - 2 изд. - М.:НИЦ ИНФРА-М,2024 - 281 с.(ВО: Бакалавриат)(П)</t>
  </si>
  <si>
    <t>АУДИТ, ИЗД.2</t>
  </si>
  <si>
    <t>Федоренко И.В., Золотарева Г.И.</t>
  </si>
  <si>
    <t>978-5-16-015136-6</t>
  </si>
  <si>
    <t>38.02.01, 38.02.03, 38.04.01, 38.03.01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</si>
  <si>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12 от 24.06.2019)</t>
  </si>
  <si>
    <t>0219</t>
  </si>
  <si>
    <t>176500.08.01</t>
  </si>
  <si>
    <t>Аудит: Уч. / И.В.Федоренко - М.:НИЦ ИНФРА-М,2019 - 272 с.-(ВО: Бакалавриат)(П)</t>
  </si>
  <si>
    <t>АУДИТ</t>
  </si>
  <si>
    <t>Федоренко И. В., Золотарева Г. И.</t>
  </si>
  <si>
    <t>978-5-16-005015-7</t>
  </si>
  <si>
    <t>Рекомендовано Государственным университетом управления в качестве учебника для студентов высших учебных заведений, обучающихся по направлению подготовки 38.03.01 «Экономика»</t>
  </si>
  <si>
    <t>0112</t>
  </si>
  <si>
    <t>684986.02.01</t>
  </si>
  <si>
    <t>Аудит: Уч. / И.В.Федоренко - М.:НИЦ ИНФРА-М,2019 - 272 с.-(СПО)(П)</t>
  </si>
  <si>
    <t>978-5-16-014141-1</t>
  </si>
  <si>
    <t>38.05.01, 38.03.01, 38.03.05, 38.03.02, 38.03.04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</si>
  <si>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</si>
  <si>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636369.03.01</t>
  </si>
  <si>
    <t>Аудит: Уч. / Н.А.Казакова, - 2 изд.-М.:НИЦ ИНФРА-М,2023.-308 с..-(ВО: Магистратура)(П)</t>
  </si>
  <si>
    <t>Казакова Н.А., Ефремова Е.И., Казакова Н.А.</t>
  </si>
  <si>
    <t>978-5-16-017267-5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</si>
  <si>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«магистр») (протокол № 8 от 19.10.2022)</t>
  </si>
  <si>
    <t>Январь, 2023</t>
  </si>
  <si>
    <t>364100.03.01</t>
  </si>
  <si>
    <t>Аудит: Уч. пос. / С.А.Касьянова - М.:Вуз. уч., НИЦ ИНФРА-М,2020 - 196 с.(П)</t>
  </si>
  <si>
    <t>Касьянова С.А.</t>
  </si>
  <si>
    <t>978-5-9558-0440-8</t>
  </si>
  <si>
    <t>38.02.01, 38.02.03, 38.03.01</t>
  </si>
  <si>
    <t>Ремомендовано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38.03.01 «Экономика»</t>
  </si>
  <si>
    <t>Российский экономический университет им. Г.В. Плеханова, Краснодарский ф-л</t>
  </si>
  <si>
    <t>471700.03.01</t>
  </si>
  <si>
    <t>Аудит: Уч.пос. / Д.Ю.Филипьев - М.:ИЦ РИОР, НИЦ ИНФРА-М,2019.-179 с..-(ВО: Бакалавриат)(О)</t>
  </si>
  <si>
    <t>Филипьев Д.Ю., Пислегина Н.В.</t>
  </si>
  <si>
    <t>978-5-369-01539-1</t>
  </si>
  <si>
    <t>38.02.01, 38.02.03, 38.04.09, 38.04.01, 38.04.08, 38.03.01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</si>
  <si>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«Бухгалтерский учет, анализ и аудит», «Финансы и кредит» и «Налоги и налогообложение»</t>
  </si>
  <si>
    <t>Алтайский государственный технический университет им. И.И. Ползунова</t>
  </si>
  <si>
    <t>633746.02.01</t>
  </si>
  <si>
    <t>Аудит: Уч.пос. / Под ред. Хахоновой Н.Н. - 3 изд. - М.:ИЦ РИОР, НИЦ ИНФРА-М,2017.-384с.(ВО)(П)</t>
  </si>
  <si>
    <t>АУДИТ, ИЗД.3</t>
  </si>
  <si>
    <t>Хахонова Н.Н., Хахонова И.И., Богатая И.Н.</t>
  </si>
  <si>
    <t>978-5-369-01576-6</t>
  </si>
  <si>
    <t>38.02.01, 38.02.03, 38.04.08, 38.03.01, 38.03.02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</si>
  <si>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(бакалавриат) и специальностям «Финансы и кредит», «Бухгалтерский учет, анализ и аудит» и «Налоги и налогообложен</t>
  </si>
  <si>
    <t>Ростовский государственный экономический университет (РИНХ)</t>
  </si>
  <si>
    <t>0316</t>
  </si>
  <si>
    <t>682827.02.01</t>
  </si>
  <si>
    <t>Аудит: Уч.пос. / С.А.Касьянова - М.:Вуз. уч.,НИЦ ИНФРА-М,2020 - 196 с.(СПО)(П)</t>
  </si>
  <si>
    <t>978-5-9558-0620-4</t>
  </si>
  <si>
    <t>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</si>
  <si>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</si>
  <si>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682827.04.01</t>
  </si>
  <si>
    <t>Аудит: Уч.пос. / С.А.Касьянова, - 2 изд., -М.:НИЦ ИНФРА-М,2024.-200 с.(СПО)(П)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</si>
  <si>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</si>
  <si>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</si>
  <si>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364100.05.01</t>
  </si>
  <si>
    <t>Аудит: Уч.пос. / С.А.Касьянова, - 2-е изд., -М.:НИЦ ИНФРА-М,2024.-200 с.(ВО: Бакалавриат)(П)</t>
  </si>
  <si>
    <t>978-5-16-017617-8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</si>
  <si>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4 от 13.04.2022)</t>
  </si>
  <si>
    <t>0222</t>
  </si>
  <si>
    <t>084470.06.01</t>
  </si>
  <si>
    <t>Аудит: Шпаргалка - 2 изд. - М.:ИЦ РИОР, НИЦ ИНФРА-М, -110 с.-(Шпаргалка [отрывная])(О)</t>
  </si>
  <si>
    <t>Без автора</t>
  </si>
  <si>
    <t>Шпаргалка [отрывная]</t>
  </si>
  <si>
    <t>978-5-369-01045-7</t>
  </si>
  <si>
    <t>Шпаргалка</t>
  </si>
  <si>
    <t>38.02.01, 38.02.03, 38.04.09</t>
  </si>
  <si>
    <t>0212</t>
  </si>
  <si>
    <t>684986.03.01</t>
  </si>
  <si>
    <t>Аудит:Уч. / И.В.Федоренко, - 2-е изд.-М.:НИЦ ИНФРА-М,2023.-272 с..-(СПО)</t>
  </si>
  <si>
    <t>978-5-16-015889-1</t>
  </si>
  <si>
    <t>Май, 2023</t>
  </si>
  <si>
    <t>371200.0102.01</t>
  </si>
  <si>
    <t>Аудитор, 2023, № 9</t>
  </si>
  <si>
    <t>АУДИТОР, 2023, № 9</t>
  </si>
  <si>
    <t>Журнал</t>
  </si>
  <si>
    <t>Октябрь, 2023</t>
  </si>
  <si>
    <t>0115</t>
  </si>
  <si>
    <t>632667.07.01</t>
  </si>
  <si>
    <t>Банк 3.0: стратегии, бизнес-процессы, инновации: Моногр. / Р.А.Исаев-М.:НИЦ ИНФРА-М,2023.-161 с.(О)</t>
  </si>
  <si>
    <t>БАНК 3.0: СТРАТЕГИИ, БИЗНЕС-ПРОЦЕССЫ, ИННОВАЦИИ</t>
  </si>
  <si>
    <t>Исаев Р.А.</t>
  </si>
  <si>
    <t>978-5-16-012010-2</t>
  </si>
  <si>
    <t>38.04.01, 38.04.08, 38.03.01, 44.03.05</t>
  </si>
  <si>
    <t>-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</si>
  <si>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</si>
  <si>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</si>
  <si>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</si>
  <si>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</si>
  <si>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ИД Форум</t>
  </si>
  <si>
    <t>СПО</t>
  </si>
  <si>
    <t>978-5-8199-0578-4</t>
  </si>
  <si>
    <t>38.02.07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</si>
  <si>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</si>
  <si>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0214</t>
  </si>
  <si>
    <t>061750.11.01</t>
  </si>
  <si>
    <t>Банковские операции: Уч. / Е.Б.Стародубцева, - 3 изд.-М.:НИЦ ИНФРА-М,2023.-303 с.(СПО (ФинУн))(п)</t>
  </si>
  <si>
    <t>БАНКОВСКИЕ ОПЕРАЦИИ, ИЗД.3</t>
  </si>
  <si>
    <t>Стародубцева Е.Б., Маркова О.М.</t>
  </si>
  <si>
    <t>Среднее профессиональное образование (ФинУн)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</si>
  <si>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</si>
  <si>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</si>
  <si>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</si>
  <si>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</si>
  <si>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</si>
  <si>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</si>
  <si>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</si>
  <si>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</si>
  <si>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</si>
  <si>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</si>
  <si>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38.02.06, 38.02.07, 38.02.01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</si>
  <si>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</si>
  <si>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</si>
  <si>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</si>
  <si>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110250.12.01</t>
  </si>
  <si>
    <t>Банковские операции: Уч.пос. / Е.Б.Герасимова. - М.:Форум,2021 - 272 с.(СПО)(П)</t>
  </si>
  <si>
    <t>Герасимова Е. Б., Унанян И. Р., Тишина Л. С.</t>
  </si>
  <si>
    <t>Форум</t>
  </si>
  <si>
    <t>978-5-91134-334-7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</si>
  <si>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</si>
  <si>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0109</t>
  </si>
  <si>
    <t>071530.08.01</t>
  </si>
  <si>
    <t>Банковские операции: Уч.пос. / Е.Б.Стародубцева - М.:ИД ФОРУМ, ИНФРА-М Изд.Дом,2023-128с.(ПО)(О)</t>
  </si>
  <si>
    <t>Стародубцева Е.Б.</t>
  </si>
  <si>
    <t>Профессиональное образование [карм. формат]</t>
  </si>
  <si>
    <t>978-5-8199-0264-6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</si>
  <si>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</si>
  <si>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0106</t>
  </si>
  <si>
    <t>800833.01.01</t>
  </si>
  <si>
    <t>Банковский маркетинг: Уч.пос. / И.В.Курникова-М.:ИЦ РИОР, НИЦ ИНФРА-М,2023.-141 с.(ВО)(о)</t>
  </si>
  <si>
    <t>БАНКОВСКИЙ МАРКЕТИНГ</t>
  </si>
  <si>
    <t>Курникова И.В., Савин В.Э.</t>
  </si>
  <si>
    <t>978-5-369-01928-3</t>
  </si>
  <si>
    <t>38.03.01, 38.03.02</t>
  </si>
  <si>
    <t>Ивановский государственный университет</t>
  </si>
  <si>
    <t>Апрель, 2023</t>
  </si>
  <si>
    <t>150600.10.01</t>
  </si>
  <si>
    <t>Банковский менеджмент и бизнес-инжиниринг: В 2 т.Т.1 / Р.А.Исаев - 2 изд. - М.:НИЦ ИНФРА-М,2024-285с.</t>
  </si>
  <si>
    <t>БАНКОВСКИЙ МЕНЕДЖМЕНТ И БИЗНЕС-ИНЖИНИРИНГ, Т.1, ИЗД.2</t>
  </si>
  <si>
    <t>Исаев Р. А.</t>
  </si>
  <si>
    <t>978-5-16-010458-4</t>
  </si>
  <si>
    <t>0213</t>
  </si>
  <si>
    <t>747343.10.01</t>
  </si>
  <si>
    <t>Банковский менеджмент и бизнес-инжиниринг: В 2 т.Т.2 / Р.А.Исаев - 2 изд. - М.:НИЦ ИНФРА-М,2023-336 с.(п)</t>
  </si>
  <si>
    <t>БАНКОВСКИЙ МЕНЕДЖМЕНТ И БИЗНЕС-ИНЖИНИРИНГ, Т.2, ИЗД.2</t>
  </si>
  <si>
    <t>978-5-16-010459-1</t>
  </si>
  <si>
    <t>325200.08.01</t>
  </si>
  <si>
    <t>Банковский менеджмент: Уч. / Ю.Ю. Русанов -М.: Магистр:  НИЦ ИНФРА-М, 2023-480 с. (Бакалавриат)(п)</t>
  </si>
  <si>
    <t>БАНКОВСКИЙ МЕНЕДЖМЕНТ</t>
  </si>
  <si>
    <t>Русанов Ю.Ю., Бадалов Л.А., Маганов В.В. и др.</t>
  </si>
  <si>
    <t>Бакалавриат</t>
  </si>
  <si>
    <t>978-5-9776-0355-3</t>
  </si>
  <si>
    <t>38.04.03, 38.03.02</t>
  </si>
  <si>
    <t>Рекомендовано Учебно-методическим объединением по образованию в области экономики в качестве учебника для студентов высших учебных заведений обучающихся по направлению 38.03.01 (080100) "Экономика» (квалификация (степень) «бакалавр») по профилям «Бан</t>
  </si>
  <si>
    <t>700951.04.01</t>
  </si>
  <si>
    <t>Банковский менеджмент: Уч. / Я.Ю.Радюкова и др. - М.:НИЦ ИНФРА-М,2024 - 379 с.-(ВО)(п)</t>
  </si>
  <si>
    <t>Радюкова Я.Ю., Чернышова О.Н., Федорова А.Ю. и др.</t>
  </si>
  <si>
    <t>978-5-16-019189-8</t>
  </si>
  <si>
    <t>38.04.08, 38.03.01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</si>
  <si>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38.03.01 "Экономика" (квалификация (степень) «бакалавр») (протокол № 5 от 26.03.2020)</t>
  </si>
  <si>
    <t>Тамбовский государственный университет им. Г.Р. Державина</t>
  </si>
  <si>
    <t>0120</t>
  </si>
  <si>
    <t>685032.01.01</t>
  </si>
  <si>
    <t>Банковский надзор в РФ: Уч.пос. / Т.Э.Рождественская - М.:Юр.Норма, НИЦ ИНФРА-М,2018.-176 с.(П)</t>
  </si>
  <si>
    <t>БАНКОВСКИЙ НАДЗОР В РФ</t>
  </si>
  <si>
    <t>Рождественская Т.Э., Гузнов А.Г.</t>
  </si>
  <si>
    <t>978-5-91768-942-5</t>
  </si>
  <si>
    <t>40.05.04, 40.03.01, 40.04.01, 40.05.01, 40.05.02, 40.05.03</t>
  </si>
  <si>
    <t>685032.03.01</t>
  </si>
  <si>
    <t>Банковский надзор в РФ: Уч.пос. / Т.Э.Рождественская, - 2 изд.-М.:Юр.Норма, НИЦ ИНФРА-М,2024.-192 с.(П)</t>
  </si>
  <si>
    <t>БАНКОВСКИЙ НАДЗОР В РФ, ИЗД.2</t>
  </si>
  <si>
    <t>978-5-00156-187-3</t>
  </si>
  <si>
    <t>640453.06.01</t>
  </si>
  <si>
    <t>Банковское дело: орг. деят. центр. банка...: Уч. / А.А.Казимагомедов-М.:НИЦ ИНФРА-М,2023-502 с.(П)</t>
  </si>
  <si>
    <t>БАНКОВСКОЕ ДЕЛО: ОРГАНИЗАЦИЯ ДЕЯТЕЛЬНОСТИ ЦЕНТРАЛЬНОГО БАНКА  И КОММЕРЧЕСКОГО БАНКА, НЕБАНКОВСКИХ ОРГАНИЗАЦИЙ</t>
  </si>
  <si>
    <t>Казимагомедов А.А.</t>
  </si>
  <si>
    <t>978-5-16-012458-2</t>
  </si>
  <si>
    <t>Рекомендовано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</si>
  <si>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247600.07.01</t>
  </si>
  <si>
    <t>Банковское дело: Уч. / Е.Б. Стародубцева - М.: ИД ФОРУМ:  НИЦ ИНФРА-М, 2024. - 464 с.(ВО) (п)</t>
  </si>
  <si>
    <t>БАНКОВСКОЕ ДЕЛО</t>
  </si>
  <si>
    <t>978-5-8199-0575-3</t>
  </si>
  <si>
    <t>38.04.08</t>
  </si>
  <si>
    <t>Рекомендовано в качестве учебника для студентов высших учебных заведений, обучающихся по направлению подготовки бакалавров и магистров для направления 38.03.01 «Экономика» специализации «Банки и банковская деятельность»</t>
  </si>
  <si>
    <t>036537.18.01</t>
  </si>
  <si>
    <t>Банковское дело: Уч. / Под ред. Коробовой Г.Г. - 2 изд. - М.:Магистр, НИЦ ИНФРА-М, 2023 - 592 с.(П)</t>
  </si>
  <si>
    <t>БАНКОВСКОЕ ДЕЛО, ИЗД.2</t>
  </si>
  <si>
    <t>Коробова Г.Г.</t>
  </si>
  <si>
    <t>978-5-9776-0109-2</t>
  </si>
  <si>
    <t>38.02.07, 38.04.01, 38.04.08, 38.04.02, 38.04.04, 38.03.01, 38.03.02, 38.03.04, 44.03.05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</si>
  <si>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финансово-экономическим специальностям</t>
  </si>
  <si>
    <t>0209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</si>
  <si>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</si>
  <si>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</si>
  <si>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</si>
  <si>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978-5-91768-925-8</t>
  </si>
  <si>
    <t>38.01.03, 38.02.06, 38.02.07</t>
  </si>
  <si>
    <t>683239.05.01</t>
  </si>
  <si>
    <t>Банковское право РФ: Уч. / Е.Ю.Грачева - 2 изд. - М.:Юр.Норма, НИЦ ИНФРА-М,2023 - 336 с.-(П)</t>
  </si>
  <si>
    <t>БАНКОВСКОЕ ПРАВО РОССИЙСКОЙ ФЕДЕРАЦИИ, ИЗД.2</t>
  </si>
  <si>
    <t>978-5-00156-139-2</t>
  </si>
  <si>
    <t>0221</t>
  </si>
  <si>
    <t>095250.07.01</t>
  </si>
  <si>
    <t>Банковское право РФ: Уч. / Отв. ред. Е.Ю.Грачева, - 3 изд.-М.:Юр.Норма,НИЦ ИНФРА-М,2019-368с.(П)</t>
  </si>
  <si>
    <t>БАНКОВСКОЕ ПРАВО РОССИЙСКОЙ ФЕДЕРАЦИИ, ИЗД.3</t>
  </si>
  <si>
    <t>978-5-91768-737-7</t>
  </si>
  <si>
    <t>40.05.04, 40.02.01, 40.02.02, 40.03.01, 40.04.01, 40.05.01, 40.05.02, 40.05.03, 44.03.05, 40.02.03</t>
  </si>
  <si>
    <t>095250.10.01</t>
  </si>
  <si>
    <t>Банковское право РФ: Уч. / Отв. ред. Е.Ю.Грачева, - 4 изд.-М.:Юр.Норма,НИЦ ИНФРА-М,2021-336с.(П)</t>
  </si>
  <si>
    <t>БАНКОВСКОЕ ПРАВО РОССИЙСКОЙ ФЕДЕРАЦИИ, ИЗД.4</t>
  </si>
  <si>
    <t>978-5-00156-093-7</t>
  </si>
  <si>
    <t>0421</t>
  </si>
  <si>
    <t>757885.01.01</t>
  </si>
  <si>
    <t>Банковское право: Уч. / Е.Г.Хоменко - М.:Юр.Норма, НИЦ ИНФРА-М,2021 - 384 с.(П)</t>
  </si>
  <si>
    <t>БАНКОВСКОЕ ПРАВО</t>
  </si>
  <si>
    <t>Хоменко Е.Г.</t>
  </si>
  <si>
    <t>978-5-00156-179-8</t>
  </si>
  <si>
    <t>40.03.01</t>
  </si>
  <si>
    <t>078530.05.01</t>
  </si>
  <si>
    <t>Банковское право: Шпаргалка - М.:ИЦ РИОР, НИЦ ИНФРА-М - 128 с.-(Шпаргалка [отрывная])(О)</t>
  </si>
  <si>
    <t>978-5-369-00539-2</t>
  </si>
  <si>
    <t>40.03.01, 38.03.01</t>
  </si>
  <si>
    <t>132350.12.01</t>
  </si>
  <si>
    <t>Банкротство: учет, анализ, аудит: Практ. пос. / Н.В.Кобозева - М.:Магистр, НИЦ ИНФРА-М,2023.-208с(о)</t>
  </si>
  <si>
    <t>БАНКРОТСТВО: УЧЕТ, АНАЛИЗ, АУДИТ</t>
  </si>
  <si>
    <t>Кобозева Н.В.</t>
  </si>
  <si>
    <t>978-5-9776-0154-2</t>
  </si>
  <si>
    <t>Дополнительное образование / Дополнительное профессиональное образование / ДПО - повышение квалификации</t>
  </si>
  <si>
    <t>38.04.01, 38.04.08, 38.04.02, 38.03.01, 38.03.02, 44.03.01</t>
  </si>
  <si>
    <t>0110</t>
  </si>
  <si>
    <t>354400.07.01</t>
  </si>
  <si>
    <t>Бизнес-задачи, решения и расчеты в управ. учете: Уч.пос. / В.Б.Ивашкевич - М.:Магистр, НИЦ ИНФРА-М,2024 - 160 с.(О)</t>
  </si>
  <si>
    <t>БИЗНЕС-ЗАДАЧИ, РЕШЕНИЯ И РАСЧЕТЫ В УПРАВЛЕНЧЕСКОМ УЧЕТЕ</t>
  </si>
  <si>
    <t>Ивашкевич В.Б.</t>
  </si>
  <si>
    <t>978-5-9776-0365-2</t>
  </si>
  <si>
    <t>38.02.04, 40.02.01, 38.02.07, 38.02.01, 38.02.03, 38.04.01, 38.04.08, 38.04.02, 38.04.03, 38.03.01, 38.03.02, 38.03.03</t>
  </si>
  <si>
    <t>Казанский (Приволжский) федеральный университет</t>
  </si>
  <si>
    <t>416600.10.01</t>
  </si>
  <si>
    <t>Биржа и биржевое дело: Уч.пос. / А.И.Маскаева - М.:НИЦ ИНФРА-М,2023 - 118 с.-(ВО)(О)</t>
  </si>
  <si>
    <t>БИРЖА И БИРЖЕВОЕ ДЕЛО</t>
  </si>
  <si>
    <t>Маскаева А. И., Туманова Н. Н.</t>
  </si>
  <si>
    <t>978-5-16-018603-0</t>
  </si>
  <si>
    <t>38.04.01, 38.04.02, 38.03.01, 38.03.02</t>
  </si>
  <si>
    <t>Рекомендовано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</si>
  <si>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Пензенский государственный университет архитектуры и строительства</t>
  </si>
  <si>
    <t>083680.15.01</t>
  </si>
  <si>
    <t>Биржевое дело: Уч. / О.И.Дегтярева - 2 изд. - М.:Магистр, НИЦ ИНФРА-М,2024 - 528 с.(П)</t>
  </si>
  <si>
    <t>БИРЖЕВОЕ ДЕЛО, ИЗД.2</t>
  </si>
  <si>
    <t>Дегтярева О. И.</t>
  </si>
  <si>
    <t>978-5-9776-0470-3</t>
  </si>
  <si>
    <t>38.04.06, 38.03.01, 38.03.06</t>
  </si>
  <si>
    <t>Допущено Учебно-методическим объединением по образованию в области коммерции в качестве учебника  для студентов высших учебных заведений, обучающихся по специальности 080301  "Коммерция (торговое дело)"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</si>
  <si>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</si>
  <si>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0218</t>
  </si>
  <si>
    <t>718573.02.01</t>
  </si>
  <si>
    <t>Биржевые рынки гос. Азии, Австралии и Тихого океана: Моногр. / Р.С.Куракин-М.:НИЦ ИНФРА-М,2023.-595 с(П)</t>
  </si>
  <si>
    <t>БИРЖЕВЫЕ РЫНКИ ГОСУДАРСТВ АЗИИ, АВСТРАЛИИ И ТИХОГО ОКЕАНА</t>
  </si>
  <si>
    <t>Куракин Р.С.</t>
  </si>
  <si>
    <t>978-5-16-015574-6</t>
  </si>
  <si>
    <t>40.03.01, 40.04.01, 38.04.01, 38.04.08, 38.03.01, 38.03.02</t>
  </si>
  <si>
    <t>699197.02.01</t>
  </si>
  <si>
    <t>Биржевые рынки государств Ближнего Востока:Моногр. / Р.С.Куракин-М.:НИЦ ИНФРА-М,2023-319 с.-(Науч.мысль)(П)</t>
  </si>
  <si>
    <t>БИРЖЕВЫЕ РЫНКИ ГОСУДАРСТВ БЛИЖНЕГО ВОСТОКА</t>
  </si>
  <si>
    <t>978-5-16-014677-5</t>
  </si>
  <si>
    <t>40.03.01, 40.04.01, 38.04.01, 38.04.08, 38.03.01</t>
  </si>
  <si>
    <t>668723.04.01</t>
  </si>
  <si>
    <t>Биржевые рынки государств Европы: Моногр. / Р.С.Куракин-М.:НИЦ ИНФРА-М,2023.-549 с..-(Науч.мысль)(П)</t>
  </si>
  <si>
    <t>БИРЖЕВЫЕ РЫНКИ ГОСУДАРСТВ ЕВРОПЫ</t>
  </si>
  <si>
    <t>978-5-16-013309-6</t>
  </si>
  <si>
    <t>632635.03.01</t>
  </si>
  <si>
    <t>Биржи стран БРИКС в контексте мировой.: Моногр. / О.И.Дегтярева-М.:Магистр, НИЦ ИНФРА-М,2023-208с(О)</t>
  </si>
  <si>
    <t>БИРЖИ СТРАН БРИКС В КОНТЕКСТЕ МИРОВОЙ БИРЖЕВОЙ ТОРГОВЛИ</t>
  </si>
  <si>
    <t>Дегтярева О.И.</t>
  </si>
  <si>
    <t>Магистратура</t>
  </si>
  <si>
    <t>978-5-9776-0429-1</t>
  </si>
  <si>
    <t>38.04.01, 38.04.08, 38.04.06, 38.03.01, 38.03.02, 44.03.01</t>
  </si>
  <si>
    <t>756458.05.01</t>
  </si>
  <si>
    <t>Блокчейн в платеж. сис., цифр. финанс. активы...: Уч.пос. / Т.Э.Рождественская.-М.:Юр.Норма, НИЦ ИНФРА-М,2024.-128 с.(П)</t>
  </si>
  <si>
    <t>БЛОКЧЕЙН В ПЛАТЕЖНЫХ СИСТЕМАХ, ЦИФРОВЫЕ ФИНАНСОВЫЕ АКТИВЫ И ЦИФРОВЫЕ ВАЛЮТЫ</t>
  </si>
  <si>
    <t>Рождественская Т.Э., Ситник А.А., Хоменко Е.Г. и др.</t>
  </si>
  <si>
    <t>978-5-00156-171-2</t>
  </si>
  <si>
    <t>433800.04.01</t>
  </si>
  <si>
    <t>Бухгалтерская (фин.) отчетность: Уч.пос. / М.Я.Погорелова - М.:ИЦ РИОР, НИЦ ИНФРА-М,2024 - 242 с.(ВО)(П)</t>
  </si>
  <si>
    <t>БУХГАЛТЕРСКАЯ (ФИНАНСОВАЯ) ОТЧЕТНОСТЬ: ТЕОРИЯ И ПРАКТИКА СОСТАВЛЕНИЯ</t>
  </si>
  <si>
    <t>Погорелова М.Я.</t>
  </si>
  <si>
    <t>978-5-369-01521-6</t>
  </si>
  <si>
    <t>38.02.04, 40.02.01, 38.02.07, 38.02.01, 38.02.03, 38.04.01, 38.04.08, 38.04.06, 38.04.02, 38.03.01, 38.03.06, 38.03.02</t>
  </si>
  <si>
    <t>418450.08.01</t>
  </si>
  <si>
    <t>Бухгалтерская (финанс.) отчет. коммерч. предпр.: Уч.пос. / М.В.Беспалов - М.:НИЦ ИНФРА-М,2023-192с.(ВО) (П)</t>
  </si>
  <si>
    <t>БУХГАЛТЕРСКАЯ (ФИНАНСОВАЯ) ОТЧЕТНОСТЬ КОММЕРЧЕСКИХ ПРЕДПРИЯТИЙ</t>
  </si>
  <si>
    <t>Беспалов М. В., Абдукаримов И. Т.</t>
  </si>
  <si>
    <t>978-5-16-006518-2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</si>
  <si>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080111 «Маркетинг услуг» (рег. номер рецензии 1669 от 26.12.2011 г., ФГУП)</t>
  </si>
  <si>
    <t>645036.07.01</t>
  </si>
  <si>
    <t>Бухгалтерская (финанс.) отчетность: Уч. / Под ред. Сигидова Ю.И. - М.:НИЦ ИНФРА-М,2023-340с.(ВО)(П)</t>
  </si>
  <si>
    <t>БУХГАЛТЕРСКАЯ (ФИНАНСОВАЯ) ОТЧЕТНОСТЬ</t>
  </si>
  <si>
    <t>Сигидов Ю.И., Ясменко Г.Н., Оксанич Е.А. и др.</t>
  </si>
  <si>
    <t>978-5-16-011881-9</t>
  </si>
  <si>
    <t>38.03.01, 38.03.06, 38.03.02</t>
  </si>
  <si>
    <t>425850.08.01</t>
  </si>
  <si>
    <t>Бухгалтерская (финанс.) отчетность: Уч.пос. / Л.В.Пономарева, - 2 изд.-М.:НИЦ ИНФРА-М,2023.-276 с.(ВО)(п)</t>
  </si>
  <si>
    <t>БУХГАЛТЕРСКАЯ (ФИНАНСОВАЯ) ОТЧЕТНОСТЬ, ИЗД.2</t>
  </si>
  <si>
    <t>Пономарева Л.В., Стельмашенко Н.Д.</t>
  </si>
  <si>
    <t>978-5-16-017942-1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</si>
  <si>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10 от 21.12.2022)</t>
  </si>
  <si>
    <t>Финансовый университет при Правительстве Российской Федерации, Владимирский ф-л</t>
  </si>
  <si>
    <t>Февраль, 2023</t>
  </si>
  <si>
    <t>425850.07.01</t>
  </si>
  <si>
    <t>Бухгалтерская (финансовая) отчетность: Уч.пос. / Л.В.Пономарева - М.:Вуз.уч., НИЦ ИНФРА-М,2022 - 224 с(П)</t>
  </si>
  <si>
    <t>Пономарева Л. В., Стельмашенко Н. Д.</t>
  </si>
  <si>
    <t>978-5-9558-0304-3</t>
  </si>
  <si>
    <t>269100.06.01</t>
  </si>
  <si>
    <t>Бухгалтерская (финансовая) отчетность: Уч.пос. / Н.Н.Бондина - М.:НИЦ ИНФРА-М,2023-256с.(ВО:Бакалавр.)(о)</t>
  </si>
  <si>
    <t>Бондина Н. Н., Бондин И. А., Зубкова Т. В., Павлова И. В.</t>
  </si>
  <si>
    <t>978-5-16-009625-4</t>
  </si>
  <si>
    <t>38.03.01</t>
  </si>
  <si>
    <t>Рекомендовано УМО вузов 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(квалификация (степень) «бакалавр» )</t>
  </si>
  <si>
    <t>Пензенский государственный аграрный университет</t>
  </si>
  <si>
    <t>704421.07.01</t>
  </si>
  <si>
    <t>Бухгалтерская тех.провед.и оформ. инвентар.: Уч.пос. / Н.А.Качан, - 2-изд.-М.:НИЦ ИНФРА-М,2023-137с.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</si>
  <si>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</si>
  <si>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</si>
  <si>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</si>
  <si>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</si>
  <si>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</si>
  <si>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712542.07.01</t>
  </si>
  <si>
    <t>Бухгалтерская технология провед. и оформл. инвентариз.: Уч. / М.Д.Акатьева - М.:НИЦ ИНФРА-М,2023 - 208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</si>
  <si>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</si>
  <si>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</si>
  <si>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</si>
  <si>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</si>
  <si>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Московский политехнический университет</t>
  </si>
  <si>
    <t>751248.02.01</t>
  </si>
  <si>
    <t>Бухгалтерские проводки в экономике коммер. орг.: Справ. пос. / Е.А.Мизиковский-М.:Магистр, НИЦ ИНФРА-М,2023.-336 с.(П)</t>
  </si>
  <si>
    <t>БУХГАЛТЕРСКИЕ ПРОВОДКИ В ЭКОНОМИКЕ КОММЕРЧЕСКИХ ОРГАНИЗАЦИЙ : СПРАВОЧНИК С КОММЕНТАРИЯМИ И РЕКОМЕНДАЦИЯМИ</t>
  </si>
  <si>
    <t>Мизиковский Е.А., Мизиковский И.Е.</t>
  </si>
  <si>
    <t>978-5-9776-0530-4</t>
  </si>
  <si>
    <t>Справочное пособие</t>
  </si>
  <si>
    <t>38.03.10, 38.03.01, 38.03.06, 38.03.04</t>
  </si>
  <si>
    <t>Национальный исследовательский Нижегородский государственный университет им. Н.И. Лобачевского</t>
  </si>
  <si>
    <t>184950.03.01</t>
  </si>
  <si>
    <t>Бухгалтерские проводки: Уч. пос. / А.М. Сайгидмагомедов, А.С. Акаева. - М.: Форум, 2015- 248 с. (о)</t>
  </si>
  <si>
    <t>БУХГАЛТЕРСКИЕ ПРОВОДКИ</t>
  </si>
  <si>
    <t>Сайгидмагомедов А. М., Акаева А. С.</t>
  </si>
  <si>
    <t>978-5-91134-615-7</t>
  </si>
  <si>
    <t>38.02.04, 38.02.07, 38.02.03, 38.03.01, 38.03.06, 38.03.07, 38.03.02, 38.03.04</t>
  </si>
  <si>
    <t>Рекомендовано УМО по образованию в области финансов, учета и мировой экономики в качестве учебного пособия для  студентов, обучающихся по специальности "Бухгалтерский учет, анализ и аудит"</t>
  </si>
  <si>
    <t>Дагестанский государственный аграрный университет им. М.М. Джамбулатова</t>
  </si>
  <si>
    <t>184950.06.01</t>
  </si>
  <si>
    <t>Бухгалтерские проводки: Уч.пос. / А.М.Сайгидмагомедов, - 2 изд.-М.:Форум, НИЦ ИНФРА-М,2024-325с(ВО)</t>
  </si>
  <si>
    <t>БУХГАЛТЕРСКИЕ ПРОВОДКИ, ИЗД.2</t>
  </si>
  <si>
    <t>Сайгидмагомедов А.М., Акаева А.С.</t>
  </si>
  <si>
    <t>978-5-00091-793-0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</si>
  <si>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«Экономика»,38.03.02 «Менеджмент» (квалификация (степень) «бакалавр»)</t>
  </si>
  <si>
    <t>693052.07.01</t>
  </si>
  <si>
    <t>Бухгалтерские проводки: Уч.пос./ А.М.Сайгидмагомедов,-2 изд.-М.:Форум, НИЦ ИНФРА-М,2024-325 с.(СПО)(П)</t>
  </si>
  <si>
    <t>978-5-00091-629-2</t>
  </si>
  <si>
    <t>38.02.04, 38.02.07, 38.02.01, 38.02.03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</si>
  <si>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</si>
  <si>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632102.06.01</t>
  </si>
  <si>
    <t>Бухгалтерский  учет в гос. (муниц.) учр.: Уч.пос. / Т.С.Маслова - М.:Магистр,НИЦ ИНФРА-М,2024-544(П)</t>
  </si>
  <si>
    <t>БУХГАЛТЕРСКИЙ  УЧЕТ В ГОСУДАРСТВЕННЫХ (МУНИЦИПАЛЬНЫХ) УЧРЕЖДЕНИЯХ</t>
  </si>
  <si>
    <t>Маслова Т.С.</t>
  </si>
  <si>
    <t>978-5-9776-0422-2</t>
  </si>
  <si>
    <t>38.02.04, 38.02.07, 38.02.03, 38.03.01</t>
  </si>
  <si>
    <t>144650.11.01</t>
  </si>
  <si>
    <t>Бухгалтерский (упр.) учет в сельском хозяйстве: Уч. пос. / Г.М. Лисович - М.:Вуз.уч.,2023 - 168с(п)</t>
  </si>
  <si>
    <t>БУХГАЛТЕРСКИЙ (УПРАВЛЕНЧЕСКИЙ) УЧЕТ В СЕЛЬСКОМ ХОЗЯЙСТВЕ</t>
  </si>
  <si>
    <t>Лисович Г. М. Шутова И. С.</t>
  </si>
  <si>
    <t>978-5-9558-0180-3</t>
  </si>
  <si>
    <t>0111</t>
  </si>
  <si>
    <t>751339.01.01</t>
  </si>
  <si>
    <t>Бухгалтерский (управленческий) учет. Основы теории...: Уч. / А.Н.Кизилов-М.:НИЦ ИНФРА-М,2024.-282 с.(ВО)(п)</t>
  </si>
  <si>
    <t>БУХГАЛТЕРСКИЙ (УПРАВЛЕНЧЕСКИЙ) УЧЕТ. ОСНОВЫ ТЕОРИИ. ПРАКТИЧЕСКИЕ ЗАДАНИЯ. ТЕСТЫ</t>
  </si>
  <si>
    <t>Кизилов А.Н.</t>
  </si>
  <si>
    <t>978-5-16-017292-7</t>
  </si>
  <si>
    <t>00.03.13, 38.04.09, 38.04.07, 37.04.02, 38.04.01, 38.04.08, 38.05.02, 38.03.01, 38.03.05, 38.03.06, 38.03.07, 38.03.02, 38.03.04, 38.03.03, 41.03.06</t>
  </si>
  <si>
    <t>Сентябрь, 2023</t>
  </si>
  <si>
    <t>0124</t>
  </si>
  <si>
    <t>638374.04.01</t>
  </si>
  <si>
    <t>Бухгалтерский (управленческий) учет: Уч.пос. / А.В.Басова-М.:НИЦ ИНФРА-М,2020-324 с(ВО: Магистр.)(П)</t>
  </si>
  <si>
    <t>БУХГАЛТЕРСКИЙ (УПРАВЛЕНЧЕСКИЙ) УЧЕТ</t>
  </si>
  <si>
    <t>Басова А.В., Нечаев А.С.</t>
  </si>
  <si>
    <t>978-5-16-012295-3</t>
  </si>
  <si>
    <t>38.04.09, 38.04.07, 38.04.01, 38.04.08, 38.04.06, 38.04.02, 38.04.03, 38.04.04, 38.04.05, 38.05.01, 38.05.02, 38.03.01, 38.03.05, 38.03.06, 38.03.07, 38.03.02, 38.03.04, 38.03.03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</si>
  <si>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</t>
  </si>
  <si>
    <t>Иркутский государственный университет путей сообщения</t>
  </si>
  <si>
    <t>430500.03.01</t>
  </si>
  <si>
    <t>Бухгалтерский (финансовый) учет...: Уч пос. / М.Я.Погорелова - М.:ИЦ РИОР, НИЦ ИНФРА-М,2016-331с.</t>
  </si>
  <si>
    <t>БУХГАЛТЕРСКИЙ (ФИНАНСОВЫЙ) УЧЕТ: ТЕОРИЯ И ПРАКТИКА, ИЗД.2</t>
  </si>
  <si>
    <t>978-5-369-01426-4</t>
  </si>
  <si>
    <t>38.02.04, 38.02.07, 38.02.03, 38.04.01, 38.04.08, 38.04.05, 38.03.01, 38.03.05</t>
  </si>
  <si>
    <t>0215</t>
  </si>
  <si>
    <t>653172.03.01</t>
  </si>
  <si>
    <t>Бухгалтерский и налоговый учет: Уч. / Э.Ч.Цыденова - 2 изд. - М.:НИЦ ИНФРА-М,2020 - 399 с.-(ВО: Бакалавр.)(П)</t>
  </si>
  <si>
    <t>БУХГАЛТЕРСКИЙ И НАЛОГОВЫЙ УЧЕТ, ИЗД.2</t>
  </si>
  <si>
    <t>Цыденова Э.Ч., Аюшиева Л.К.</t>
  </si>
  <si>
    <t>978-5-16-012841-2</t>
  </si>
  <si>
    <t>Рекомендовано УМО вузов России по образованию в области финансов, учета и мировой экономики в качестве учебника для студентов высших учебных заведений, обучающихся по направлению подготовки 38.03.01 «Экономика»</t>
  </si>
  <si>
    <t>Бурятский государственный университет</t>
  </si>
  <si>
    <t>633562.04.01</t>
  </si>
  <si>
    <t>Бухгалтерский и упр.учет. Лаб.практ.: Уч.пос. / Серебрякова Т.Ю. - М.:НИЦ ИНФРА-М,2023-300с.(П)</t>
  </si>
  <si>
    <t>БУХГАЛТЕРСКИЙ И УПРАВЛЕНЧЕСКИЙ УЧЕТ. ЛАБОРАТОРНЫЙ ПРАКТИКУМ</t>
  </si>
  <si>
    <t>Серебрякова Т.Ю., Антонова М.В., Кондрашова О.Р. и др.</t>
  </si>
  <si>
    <t>978-5-16-012068-3</t>
  </si>
  <si>
    <t>38.04.08, 38.03.01, 38.03.05, 38.03.06, 38.03.07, 38.03.02, 38.03.04, 38.03.03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</si>
  <si>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</si>
  <si>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Российский университет кооперации, Чебоксарский ф-л</t>
  </si>
  <si>
    <t>402550.07.01</t>
  </si>
  <si>
    <t>Бухгалтерский упр. учет: Уч.пос. / И.Е.Мизиковский - 2изд. - М.:Магистр, НИЦ ИНФРА-М,2023-144с(О)</t>
  </si>
  <si>
    <t>БУХГАЛТЕРСКИЙ УПРАВЛЕНЧЕСКИЙ УЧЕТ, ИЗД.2</t>
  </si>
  <si>
    <t>Мизиковский И.Е.</t>
  </si>
  <si>
    <t>978-5-9776-0413-0</t>
  </si>
  <si>
    <t>38.04.01, 38.03.01, 38.03.02, 41.03.06</t>
  </si>
  <si>
    <t>313500.04.01</t>
  </si>
  <si>
    <t>Бухгалтерский управленческий учет расходов...: Моногр. /Л.Б.Сунгатуллина -Магистр, ИНФРА-М, 2023 -400с</t>
  </si>
  <si>
    <t>БУХГАЛТЕРСКИЙ УПРАВЛЕНЧЕСКИЙ УЧЕТ РАСХОДОВ НА ВОЗНАГРАЖДЕНИЯ РАБОТНИКОВ</t>
  </si>
  <si>
    <t>Сунгатуллина Л.Б.</t>
  </si>
  <si>
    <t>978-5-9776-0338-6</t>
  </si>
  <si>
    <t>43.02.08, 38.04.01, 38.04.08, 38.04.02, 38.04.03, 38.04.04, 38.06.01, 38.03.01, 38.03.02, 38.03.04, 38.03.03</t>
  </si>
  <si>
    <t>041918.13.01</t>
  </si>
  <si>
    <t>Бухгалтерский управленческий учет: Уч. / В.Б. Ивашкевич - 3изд. - М.: Магистр: НИЦ ИНФРА-М,2023-448с (п)</t>
  </si>
  <si>
    <t>БУХГАЛТЕРСКИЙ УПРАВЛЕНЧЕСКИЙ УЧЕТ, ИЗД.3</t>
  </si>
  <si>
    <t>Ивашкевич В. Б.</t>
  </si>
  <si>
    <t>978-5-9776-0362-1</t>
  </si>
  <si>
    <t>38.02.04, 38.02.07, 38.02.03, 38.04.09, 38.04.07, 38.04.01, 38.04.08, 38.04.06, 38.04.02, 38.04.03, 38.04.04, 38.04.05, 38.05.01, 38.05.02, 38.03.01, 38.03.05, 38.03.06, 38.03.07, 38.03.02, 38.03.04, 38.03.03</t>
  </si>
  <si>
    <t>Допущено Мин. обр. и науки РФ в качестве учебника для студентов высших учебных заведений, обучающихся по финансово-экономическим специальностям</t>
  </si>
  <si>
    <t>441850.06.01</t>
  </si>
  <si>
    <t>Бухгалтерский управленческий учет: Уч.пос. / В.И.Бережной -М.:НИЦ ИНФРА-М,2024-176 с.(ВО: Бакалавр.)(П)</t>
  </si>
  <si>
    <t>БУХГАЛТЕРСКИЙ УПРАВЛЕНЧЕСКИЙ УЧЕТ</t>
  </si>
  <si>
    <t>Бережной В.И., Крохичева Г.Е., Лесняк В.В.</t>
  </si>
  <si>
    <t>978-5-16-006808-4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</si>
  <si>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«Экономика» (квалификация (степень) «бакалавр»). Регистрационный номер рецензии 745 от 27 декабря 2012 г. (ФГАУ ФИРО)</t>
  </si>
  <si>
    <t>Белгородский университет кооперации, экономики и права, ф-л Ставропольский кооперативный институт</t>
  </si>
  <si>
    <t>049000.28.01</t>
  </si>
  <si>
    <t>Бухгалтерский учет (фин. и упр.): Уч. / Н.П.Кондраков - 5 изд. - М.:НИЦ ИНФРА-М,2024 - 584 с.(ВО) (П)</t>
  </si>
  <si>
    <t>БУХГАЛТЕРСКИЙ УЧЕТ (ФИНАНСОВЫЙ И УПРАВЛЕНЧЕСКИЙ), ИЗД.5</t>
  </si>
  <si>
    <t>Кондраков Н.П.</t>
  </si>
  <si>
    <t>978-5-16-011053-0</t>
  </si>
  <si>
    <t>38.02.04, 38.02.07, 38.02.01, 38.02.03, 38.04.09, 38.04.01, 38.04.08, 38.04.02, 38.03.01, 38.03.02, 41.03.06</t>
  </si>
  <si>
    <t>Рекомендовано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</si>
  <si>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0516</t>
  </si>
  <si>
    <t>776422.03.01</t>
  </si>
  <si>
    <t>Бухгалтерский учет в бюджетных учреждениях: Уч. / Т.С.Маслова - М.:Магистр, НИЦ ИНФРА-М,2024 - 480 с.(П)</t>
  </si>
  <si>
    <t>БУХГАЛТЕРСКИЙ УЧЕТ В БЮДЖЕТНЫХ УЧРЕЖДЕНИЯХ</t>
  </si>
  <si>
    <t>978-5-9776-0542-7</t>
  </si>
  <si>
    <t>38.04.01</t>
  </si>
  <si>
    <t>0122</t>
  </si>
  <si>
    <t>666393.01.01</t>
  </si>
  <si>
    <t>Бухгалтерский учет в двух модулях: Уч.пос. / Т.В.Терентьева - М.:ИЦ РИОР, НИЦ ИНФРА-М,2018-288 с.(П)</t>
  </si>
  <si>
    <t>БУХГАЛТЕРСКИЙ УЧЕТ В ДВУХ МОДУЛЯХ</t>
  </si>
  <si>
    <t>Терентьева Т.В., Малышева В.В.</t>
  </si>
  <si>
    <t>978-5-369-01727-2</t>
  </si>
  <si>
    <t>38.02.04, 38.02.07, 38.02.03</t>
  </si>
  <si>
    <t>Владивостокский Государственный Университет</t>
  </si>
  <si>
    <t>462600.04.01</t>
  </si>
  <si>
    <t>Бухгалтерский учет в коммерч.орг.: Уч.пос. /М.В.Мельник -М.: Форум, НИЦ ИНФРА-М, 2023 -480 (ВО:Бакалавр.) (п)</t>
  </si>
  <si>
    <t>БУХГАЛТЕРСКИЙ УЧЕТ В КОММЕРЧЕСКИХ ОРГАНИЗАЦИЯХ</t>
  </si>
  <si>
    <t>Мельник М.В., Егорова С.Е., Кулакова Н.Г. и др.</t>
  </si>
  <si>
    <t>978-5-00091-146-4</t>
  </si>
  <si>
    <t>38.02.04, 40.02.01, 38.02.07, 38.02.01, 38.02.03, 23.03.01, 38.03.01, 38.03.02, 41.03.06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</si>
  <si>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направлениям подготовки «Экономика» и «Менеджмент»</t>
  </si>
  <si>
    <t>761244.02.01</t>
  </si>
  <si>
    <t>Бухгалтерский учет в коммерческих орг.: Уч.пос. / М.В.Мельник - М.:Форум, НИЦ ИНФРА-М,2024 - 479 с.(п)</t>
  </si>
  <si>
    <t>978-5-00091-759-6</t>
  </si>
  <si>
    <t>38.02.04, 40.02.01, 38.02.07, 38.02.01, 38.02.03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</si>
  <si>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</si>
  <si>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739624.01.01</t>
  </si>
  <si>
    <t>Бухгалтерский учет в ресторанно-гостиничном...: Уч. / С.А.Касьянова - М.:НИЦ ИНФРА-М,2022 - 215 с.(ВО)(П)</t>
  </si>
  <si>
    <t>БУХГАЛТЕРСКИЙ УЧЕТ В РЕСТОРАННО-ГОСТИНИЧНОМ БИЗНЕСЕ И ТУРИЗМЕ</t>
  </si>
  <si>
    <t>978-5-16-016503-5</t>
  </si>
  <si>
    <t>43.03.03, 38.03.01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</si>
  <si>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8 от 20.10.2021)</t>
  </si>
  <si>
    <t>448050.10.01</t>
  </si>
  <si>
    <t>Бухгалтерский учет и анализ. Осн. теор. для бакал. эконом.:Уч./Ю.А.Бабаев-Вуз.уч.:ИНФРА-М,2024-302с(п)</t>
  </si>
  <si>
    <t>БУХГАЛТЕРСКИЙ УЧЕТ И АНАЛИЗ. ОСНОВЫ ТЕОРИИ ДЛЯ БАКАЛАВРОВ ЭКОНОМИКИ</t>
  </si>
  <si>
    <t>Бабаев Ю. А., Петров А. М.</t>
  </si>
  <si>
    <t>978-5-9558-0327-2</t>
  </si>
  <si>
    <t>38.04.07, 38.04.01, 38.04.08, 38.04.06, 38.04.02, 38.04.04, 38.04.05, 38.03.05, 38.03.06, 38.03.07, 38.03.02, 38.03.04</t>
  </si>
  <si>
    <t>Рекомендовано УМО вузов России по образованию в области финансов, учета и мировой экономики в качестве учебника для студентов, обучающихся по направлению «Экономика»</t>
  </si>
  <si>
    <t>463250.06.01</t>
  </si>
  <si>
    <t>Бухгалтерский учет и анализ. Практикум: Уч. пос./Ю.И.Сигидов - М:ИНФРА-М,2024-156с.(ВО: Бакалавр.) (п)</t>
  </si>
  <si>
    <t>БУХГАЛТЕРСКИЙ УЧЕТ И АНАЛИЗ. ПРАКТИКУМ</t>
  </si>
  <si>
    <t>Сигидов Ю. И., Рыбянцева М. С., Мороз Н. Ю., Сигидов Ю. И., Оксанич Е. А.</t>
  </si>
  <si>
    <t>978-5-16-009609-4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</si>
  <si>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з качестве учебного пособия для студентов высших учебных заведений, обучающихся по направле</t>
  </si>
  <si>
    <t>462700.04.01</t>
  </si>
  <si>
    <t>Бухгалтерский учет и анализ: практикум: Уч.пос. / М.В.Мельник - 2 изд.-М.:НИЦ ИНФРА-М,2023.-198 с.(ВО)(П)</t>
  </si>
  <si>
    <t>БУХГАЛТЕРСКИЙ УЧЕТ И АНАЛИЗ: ПРАКТИКУМ, ИЗД.2</t>
  </si>
  <si>
    <t>978-5-16-016433-5</t>
  </si>
  <si>
    <t>38.02.04, 40.02.01, 38.02.07, 38.02.01, 38.02.03, 38.05.01, 38.05.02, 23.03.01, 38.03.01, 38.03.05, 38.03.06, 38.03.07, 38.03.02, 38.03.04, 38.03.03</t>
  </si>
  <si>
    <t>135600.09.01</t>
  </si>
  <si>
    <t>Бухгалтерский учет и анализ: Уч. / А.Д.Шеремет - 3 изд. - М.:НИЦ ИНФРА-М,2023 - 472 с.(ВО: Бакалавриат) (П)</t>
  </si>
  <si>
    <t>БУХГАЛТЕРСКИЙ УЧЕТ И АНАЛИЗ, ИЗД.3</t>
  </si>
  <si>
    <t>Шеремет А.Д., Старовойтова Е.В., Шеремет А.Д.</t>
  </si>
  <si>
    <t>978-5-16-015482-4</t>
  </si>
  <si>
    <t>Допущено УМО по классическому университетскому образованию в качестве учебника для студентов высших учебных заведений, обучающихся по направлению подготовки «Экономика»</t>
  </si>
  <si>
    <t>Московский государственный университет им. М.В. Ломоносова, экономический факультет</t>
  </si>
  <si>
    <t>0320</t>
  </si>
  <si>
    <t>336300.08.01</t>
  </si>
  <si>
    <t>Бухгалтерский учет и анализ: Уч. / М.Д.Акатьева - 3 изд. - М.:НИЦ ИНФРА-М,2023 - 274 с.-(ВО)(П)</t>
  </si>
  <si>
    <t>Акатьева М.Д., Бирюков В.А.</t>
  </si>
  <si>
    <t>978-5-16-015826-6</t>
  </si>
  <si>
    <t>38.02.04, 38.02.07, 38.02.03, 38.04.01, 38.03.01</t>
  </si>
  <si>
    <t>Рекомендовано федеральным государственным образовательным бюджетным учреждением высшего образования «Финансовый университет при Правительстве Российской Федерации» в качестве учебника к использованию в образовательных учреждениях, реализующих образовательные программы ВО по направлению подготовки 38.03.01 «Экономика» по дисциплине «Бухгалтерский учет и анализ» (регистрационный номер рецензии 3041 от 03.06.2015, МГУП)</t>
  </si>
  <si>
    <t>336300.06.01</t>
  </si>
  <si>
    <t>Бухгалтерский учет и анализ: Уч. / М.Д.Акатьева, - 2 изд.-М.:НИЦ ИНФРА-М,2019-258с(ВО: Бакалавр.)(П)</t>
  </si>
  <si>
    <t>БУХГАЛТЕРСКИЙ УЧЕТ И АНАЛИЗ, ИЗД.2</t>
  </si>
  <si>
    <t>978-5-16-013204-4</t>
  </si>
  <si>
    <t>Рекомендовано федеральным государственным образовательным бюджетным учреждением высшего образования «Финансовый университет при Правительстве Российской Федерации» в качестве учебника к использованию в образовательных учреждениях, реализующих образовательные программы ВО по направлению подготовки 38.03.01 «Экономика» по дисциплине «Бухгалтерский учет и анализ»</t>
  </si>
  <si>
    <t>631954.03.01</t>
  </si>
  <si>
    <t>Бухгалтерский учет и анализ: Уч. / Под ред. Суглобова А.Е.-М.:ИЦ РИОР, НИЦ ИНФРА-М,2018-478с.(ВО)(П)</t>
  </si>
  <si>
    <t>БУХГАЛТЕРСКИЙ УЧЕТ И АНАЛИЗ</t>
  </si>
  <si>
    <t>Суглобов А.Е., Жарылгасова Б.Т., Хмелев С.А. и др.</t>
  </si>
  <si>
    <t>978-5-369-01585-8</t>
  </si>
  <si>
    <t>38.04.02, 38.04.04, 38.05.01, 38.03.01, 38.03.02, 38.03.04</t>
  </si>
  <si>
    <t>Технологический университет имени дважды героя Советского Союза, летчика-космонавта А.А.Леонова</t>
  </si>
  <si>
    <t>733123.01.01</t>
  </si>
  <si>
    <t>Бухгалтерский учет и анализ: Уч. / С.А.Сироткин - М.:НИЦ ИНФРА-М,2021 - 355 с.-(СПО)(П)</t>
  </si>
  <si>
    <t>Сироткин С.А., Кельчевская Н.Р.</t>
  </si>
  <si>
    <t>978-5-16-016048-1</t>
  </si>
  <si>
    <t>43.02.01, 38.02.04, 38.02.05, 43.02.11, 19.02.10, 40.02.01, 38.02.06, 38.02.07, 38.02.01, 38.02.03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</si>
  <si>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</si>
  <si>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</si>
  <si>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661008.03.01</t>
  </si>
  <si>
    <t>Бухгалтерский учет и анализ: Уч. / С.А.Сироткин - М.:НИЦ ИНФРА-М,2023 - 355 с.-(ВО: Бакалавриат)(П)</t>
  </si>
  <si>
    <t>978-5-16-013703-2</t>
  </si>
  <si>
    <t>38.03.10, 38.03.01, 38.03.06, 38.03.02, 38.03.04</t>
  </si>
  <si>
    <t>459400.03.01</t>
  </si>
  <si>
    <t>Бухгалтерский учет и анализ: Уч. / Т.М.Садыкова - М.:ИЦ РИОР,НИЦ ИНФРА-М,2020-256с.(ВО:Бакалавр.)(П)</t>
  </si>
  <si>
    <t>Садыкова Т.М., Церпенто С.И.</t>
  </si>
  <si>
    <t>978-5-369-01546-9</t>
  </si>
  <si>
    <t>38.03.01, 38.03.02, 38.03.04</t>
  </si>
  <si>
    <t>235300.05.01</t>
  </si>
  <si>
    <t>Бухгалтерский учет и анализ: Уч. пос. / Под ред. Ю.И. Сигидова - М.: НИЦ ИНФРА-М, 2020 - 336 с. (ВО) (п)</t>
  </si>
  <si>
    <t>Сигидов Ю. И., Оксанич Е. А., Сигидова Н. Ю., Сигидов Ю. И., Рыбянцева М. С.</t>
  </si>
  <si>
    <t>978-5-16-009144-0</t>
  </si>
  <si>
    <t>38.02.04, 38.02.07, 38.02.03, 38.03.01, 38.03.06, 38.03.07, 38.03.02, 38.03.04, 38.03.03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</si>
  <si>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</t>
  </si>
  <si>
    <t>455450.02.01</t>
  </si>
  <si>
    <t>Бухгалтерский учет и анализ: Уч.пос. / А.В.Зонова - М.:Магистр,НИЦ ИНФРА-М,2016-576с.(Бакалавр.)(п)</t>
  </si>
  <si>
    <t>Зонова А. В., Адамайтис Л. А.</t>
  </si>
  <si>
    <t>978-5-9776-0294-5</t>
  </si>
  <si>
    <t>235300.06.01</t>
  </si>
  <si>
    <t>Бухгалтерский учет и анализ: Уч.пос. / Ю.И.Сигидов - 2 изд.-М.:НИЦ ИНФРА-М,2022.-358 с.(ВО: Бакалавр.)(П)</t>
  </si>
  <si>
    <t>978-5-16-017685-7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</si>
  <si>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«Экономика», 38.03.02 «Менеджмент» (квалификация (степень) «бакалавр») (ФГАУ ФИРО)</t>
  </si>
  <si>
    <t>631954.04.01</t>
  </si>
  <si>
    <t>Бухгалтерский учет и анализ:Уч. / Под ред. Суглобов А.Е., - 2-е изд.-М.:ИЦ РИОР, НИЦ ИНФРА-М,2019.-488 с.(П 7БЦ)</t>
  </si>
  <si>
    <t>Суглобов А.Е., Жарылгасова Б.Т., Манышин Д.М. и др.</t>
  </si>
  <si>
    <t>978-5-369-01790-6</t>
  </si>
  <si>
    <t>451600.02.01</t>
  </si>
  <si>
    <t>Бухгалтерский учет и анализ:Уч.пос. / М.С.Кувшинов-М.:ИЦ РИОР, НИЦ ИНФРА-М,2017.-248 с..-(ВО: Бакалавриат)(О. КБС)</t>
  </si>
  <si>
    <t>Кувшинов М.С.</t>
  </si>
  <si>
    <t>978-5-369-01565-0</t>
  </si>
  <si>
    <t>38.05.01, 38.03.01, 38.03.02, 41.03.06</t>
  </si>
  <si>
    <t>Южно-Уральский государственный университет (национальный исследовательский университет)</t>
  </si>
  <si>
    <t>369900.05.01</t>
  </si>
  <si>
    <t>Бухгалтерский учет и аудит: Уч.пос. / Ю.И.Сигидов и др. - М.:НИЦ ИНФРА-М,2024-407с.(ВО: Бакалавриат)</t>
  </si>
  <si>
    <t>БУХГАЛТЕРСКИЙ УЧЕТ И АУДИТ</t>
  </si>
  <si>
    <t>Ю.И.Сигидов, М.Ф.Сафонова, Г.Н.Ясменко и др.</t>
  </si>
  <si>
    <t>978-5-16-011016-5</t>
  </si>
  <si>
    <t>38.02.04, 38.02.07, 38.02.01, 38.02.03, 38.03.01</t>
  </si>
  <si>
    <t>676901.03.01</t>
  </si>
  <si>
    <t>Бухгалтерский учет и налогообл. внешнеэконом...: Уч. / Р.Г.Каспина - 2 изд.-М.:НИЦ ИНФРА-М,2023-420с(П)</t>
  </si>
  <si>
    <t>БУХГАЛТЕРСКИЙ УЧЕТ И НАЛОГООБЛОЖЕНИЕ ВНЕШНЕЭКОНОМИЧЕСКОЙ ДЕЯТЕЛЬНОСТИ ОРГАНИЗАЦИЙ, ИЗД.2</t>
  </si>
  <si>
    <t>Каспина Р.Г., Плотникова Л.А.</t>
  </si>
  <si>
    <t>978-5-16-018442-5</t>
  </si>
  <si>
    <t>38.04.01, 38.04.06, 38.04.02, 38.04.04, 38.05.02, 38.03.01, 38.03.06, 38.03.02, 38.03.04</t>
  </si>
  <si>
    <t>Рекомендован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 (квалификация (степень) «бакалавр») (протокол № 17 от 11.11.2019)</t>
  </si>
  <si>
    <t>0220</t>
  </si>
  <si>
    <t>763891.03.01</t>
  </si>
  <si>
    <t>Бухгалтерский учет и налогооблож. субъектов малого и...: Уч.пос./ Шахбанов Р.-М.:Магистр, НИЦ ИНФРА-М,2024.-184 с.(П)</t>
  </si>
  <si>
    <t>БУХГАЛТЕРСКИЙ УЧЕТ И НАЛОГООБЛОЖЕНИЕ СУБЪЕКТОВ МАЛОГО И СРЕДНЕГО ПРЕДПРИНИМАТЕЛЬСТВА</t>
  </si>
  <si>
    <t>Шахбанов Р.Б., Рабаданова Ж.Б.</t>
  </si>
  <si>
    <t>978-5-9776-0534-2</t>
  </si>
  <si>
    <t>Дагестанский государственный институт народного хозяйства</t>
  </si>
  <si>
    <t>656360.05.01</t>
  </si>
  <si>
    <t>Бухгалтерский учет и отчетность: практ.: Уч.пос. / Хахонова Н.Н. - М.:ИЦ РИОР, НИЦ ИНФРА-М,2022 - 450 с.(П)</t>
  </si>
  <si>
    <t>БУХГАЛТЕРСКИЙ УЧЕТ И ОТЧЕТНОСТЬ: ПРАКТИКУМ</t>
  </si>
  <si>
    <t>Хахонова Н.Н., Емельянова И.Н., Алексеева И.В. и др.</t>
  </si>
  <si>
    <t>978-5-369-01719-7</t>
  </si>
  <si>
    <t>645777.08.01</t>
  </si>
  <si>
    <t>Бухгалтерский учет и отчетность: Уч. / Под ред. Хахоновой Н.Н. - М.:ИЦ РИОР, НИЦ ИНФРА-М,2022 - 560 с.(ВО)(П)</t>
  </si>
  <si>
    <t>БУХГАЛТЕРСКИЙ УЧЕТ И ОТЧЕТНОСТЬ</t>
  </si>
  <si>
    <t>Хахонова Н.Н., Алексеева И.В., Бахтеев А.В. и др.</t>
  </si>
  <si>
    <t>978-5-369-01702-9</t>
  </si>
  <si>
    <t>38.04.01, 38.03.01, 38.03.02, 38.03.04</t>
  </si>
  <si>
    <t>715337.03.01</t>
  </si>
  <si>
    <t>Бухгалтерский учет и оценка незаверш. произв. в растениеводстве: Моногр. / Н.Н.Карзаева-М.:НИЦ ИНФРА-М,2022-172 с.(О)</t>
  </si>
  <si>
    <t>БУХГАЛТЕРСКИЙ УЧЕТ И ОЦЕНКА НЕЗАВЕРШЕННОГО ПРОИЗВОДСТВА В РАСТЕНИЕВОДСТВЕ</t>
  </si>
  <si>
    <t>Карзаева Н.Н., Бенгардт М.В.</t>
  </si>
  <si>
    <t>978-5-16-015519-7</t>
  </si>
  <si>
    <t>38.04.01, 38.06.01, 38.03.01</t>
  </si>
  <si>
    <t>Вятский государственный университет</t>
  </si>
  <si>
    <t>737295.02.01</t>
  </si>
  <si>
    <t>Бухгалтерский учет и эконом. анализ бизнес-процес: Уч.пос. / Е.А.Мизиковский-М.:Магистр, НИЦ ИНФРА-М,2024-216 с.(О)</t>
  </si>
  <si>
    <t>БУХГАЛТЕРСКИЙ УЧЕТ И ЭКОНОМИЧЕСКИЙ АНАЛИЗ БИЗНЕС-ПРОЦЕССОВ</t>
  </si>
  <si>
    <t>978-5-9776-0517-5</t>
  </si>
  <si>
    <t>128200.11.01</t>
  </si>
  <si>
    <t>Бухгалтерский учет, анализ и аудит внешнеэконом. деят.: Уч. /Ю.А.Бабаев - 3 изд. -М.:Вуз. уч., НИЦ ИНФРА-М,2024.-349с(П)</t>
  </si>
  <si>
    <t>БУХГАЛТЕРСКИЙ УЧЕТ, АНАЛИЗ И АУДИТ ВНЕШНЕЭКОНОМИЧЕСКОЙ ДЕЯТЕЛЬНОСТИ, ИЗД.3</t>
  </si>
  <si>
    <t>Бабаев Ю.А., Петров А.М., Кеворкова Ж.А. и др.</t>
  </si>
  <si>
    <t>978-5-9558-0510-8</t>
  </si>
  <si>
    <t>38.04.09, 25.04.03, 38.04.01, 38.04.08, 38.03.01, 38.03.02, 41.03.06</t>
  </si>
  <si>
    <t>Рекомендовано Учебно-методическим объединением вузов России по образованию в области финансов, учета и мировой экономики в качестве учебника для студентов, обучающихся по специальности 080109 "Бухгалтерский учет,анализ и аудит"</t>
  </si>
  <si>
    <t>0317</t>
  </si>
  <si>
    <t>474500.04.01</t>
  </si>
  <si>
    <t>Бухгалтерский учет, анализ и аудит операций..: Уч.пос. / О.В.Дмитриева - М.:НИЦ ИНФРА-М,2020-268 с.(ВО)(П)</t>
  </si>
  <si>
    <t>БУХГАЛТЕРСКИЙ УЧЕТ, АНАЛИЗ И АУДИТ ОПЕРАЦИЙ С ЦЕННЫМИ БУМАГАМИ</t>
  </si>
  <si>
    <t>Дмитриева О.В.</t>
  </si>
  <si>
    <t>978-5-16-015736-8</t>
  </si>
  <si>
    <t>38.04.01, 38.03.01, 38.03.02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</si>
  <si>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17 от 11.11.2019)</t>
  </si>
  <si>
    <t>714623.03.01</t>
  </si>
  <si>
    <t>Бухгалтерский учет. Сборник задач, ситуаций и тестов: уч.пос. / Под ред. Гаджиев Н.Г., - 2-е изд.-М.:НИЦ ИНФРА-М,2022.-391 с..-(Высше</t>
  </si>
  <si>
    <t>БУХГАЛТЕРСКИЙ УЧЕТ. СБОРНИК ЗАДАЧ, СИТУАЦИЙ И ТЕСТОВ, ИЗД.2</t>
  </si>
  <si>
    <t>Гаджиев Н.Г., Заугарова Е.В., Киселева О.В. и др.</t>
  </si>
  <si>
    <t>Высшее образование: Специалитет</t>
  </si>
  <si>
    <t>978-5-16-016907-1</t>
  </si>
  <si>
    <t>Профессиональное образование / ВО - Специалитет</t>
  </si>
  <si>
    <t>38.05.01, 38.05.02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</si>
  <si>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4 от 13.04.2022)</t>
  </si>
  <si>
    <t>125300.08.01</t>
  </si>
  <si>
    <t>Бухгалтерский учет. Сборник задач: Уч.пос. / Е.А.Кыштымова - М.:ИД ФОРУМ:НИЦ ИНФРА-М,2024 -208с.(ВО)</t>
  </si>
  <si>
    <t>БУХГАЛТЕРСКИЙ УЧЕТ. СБОРНИК ЗАДАЧ</t>
  </si>
  <si>
    <t>Кыштымова Е. А.</t>
  </si>
  <si>
    <t>978-5-8199-0427-5</t>
  </si>
  <si>
    <t>38.02.04, 40.02.01, 38.02.07, 38.02.01, 38.02.03, 38.04.01, 38.04.08, 38.03.01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</si>
  <si>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специальности "Бухгалтерский учет, анализ и аудит"</t>
  </si>
  <si>
    <t>714623.04.01</t>
  </si>
  <si>
    <t>Бухгалтерский учет: Сб. задач...: Уч.пос. / Под ред. Гаджиева Н.Г. - М.:НИЦ ИНФРА-М,2022 - 283 с.(ВО)(П)</t>
  </si>
  <si>
    <t>БУХГАЛТЕРСКИЙ УЧЕТ. СБОРНИК ЗАДАЧ, СИТУАЦИЙ И ТЕСТОВ</t>
  </si>
  <si>
    <t>Гаджиев Н.Г., Ивличев П.С., Ивличева Н.А. и др.</t>
  </si>
  <si>
    <t>978-5-16-015486-2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</si>
  <si>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19 от 09.12.2019)</t>
  </si>
  <si>
    <t>693009.03.01</t>
  </si>
  <si>
    <t>Бухгалтерский учет: теория и практика: Уч. / Т.В.Миршук - М.:НИЦ ИНФРА-М,2023 - 182 с.(СПО)(П)</t>
  </si>
  <si>
    <t>БУХГАЛТЕРСКИЙ УЧЕТ: ТЕОРИЯ И ПРАКТИКА</t>
  </si>
  <si>
    <t>Миршук Т.В.</t>
  </si>
  <si>
    <t>978-5-16-015121-2</t>
  </si>
  <si>
    <t>38.02.04, 38.02.06, 38.02.01, 38.02.02, 38.02.03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</si>
  <si>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</si>
  <si>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Российская международная академия туризма, Московский ф-л</t>
  </si>
  <si>
    <t>099600.14.01</t>
  </si>
  <si>
    <t>Бухгалтерский учет: упр.,тесты..: Уч.пос. / Т.П.Карпова - 2 изд. - Вуз.уч.,НИЦ ИНФРА-М,2023-328с.(П)</t>
  </si>
  <si>
    <t>БУХГАЛТЕРСКИЙ УЧЕТ: УПРАЖНЕНИЯ, ТЕСТЫ, РЕШЕНИЯ И ОТВЕТЫ, ИЗД.2</t>
  </si>
  <si>
    <t>Карпова Т.П., Карпова В.В.</t>
  </si>
  <si>
    <t>Высшее образование: Бакалавриат (ФинУн)</t>
  </si>
  <si>
    <t>978-5-9558-0658-7</t>
  </si>
  <si>
    <t>38.02.04, 38.02.07, 38.02.03, 38.04.01, 38.04.08, 38.03.01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</si>
  <si>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(квалификация (степень) «бакалавр»)</t>
  </si>
  <si>
    <t>Финансовый университет при Правительстве Российской Федерации, Смоленский ф-л</t>
  </si>
  <si>
    <t>124500.13.01</t>
  </si>
  <si>
    <t>Бухгалтерский учет: Уч. / В.Г.Гетьман - 3 изд.-М.:НИЦ ИНФРА-М,2023.-591 с.(ВО: Бакалавр.)(П)</t>
  </si>
  <si>
    <t>БУХГАЛТЕРСКИЙ УЧЕТ, ИЗД.3</t>
  </si>
  <si>
    <t>Гетьман В.Г., Бабаева З.Д., Блинова У.Ю. и др.</t>
  </si>
  <si>
    <t>978-5-16-016279-9</t>
  </si>
  <si>
    <t>Рекомендовано Государственным университетом управления в качестве учебника для студентов вузов, обучающихся по направлению подготовки 38.03.01 «Экономика» (квалификация (степень) «бакалавр»)</t>
  </si>
  <si>
    <t>712781.04.01</t>
  </si>
  <si>
    <t>Бухгалтерский учет: Уч. / Н.Г.Гаджиев и др. - М.:НИЦ ИНФРА-М,2022 - 581 с.-(ВО: Специалитет)(П)</t>
  </si>
  <si>
    <t>БУХГАЛТЕРСКИЙ УЧЕТ</t>
  </si>
  <si>
    <t>Гаджиев Н.Г., Ивличева Н.А., Ивличев П.С. и др.</t>
  </si>
  <si>
    <t>978-5-16-015446-6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</si>
  <si>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специальности 38.05.01 «Экономическая безопасность» (квалификация «экономист») (протокол № 15 от 14.10.2019)</t>
  </si>
  <si>
    <t>049000.15.01</t>
  </si>
  <si>
    <t>Бухгалтерский учет: Уч. / Н.П. Кондраков. - 4 изд. - М.: НИЦ ИНФРА-М, 2015-681с.(ВО:Бакалавр.)</t>
  </si>
  <si>
    <t>БУХГАЛТЕРСКИЙ УЧЕТ, ИЗД.4</t>
  </si>
  <si>
    <t>Кондраков Н. П.</t>
  </si>
  <si>
    <t>978-5-16-004888-8</t>
  </si>
  <si>
    <t>0411</t>
  </si>
  <si>
    <t>124500.10.01</t>
  </si>
  <si>
    <t>Бухгалтерский учет: Уч. / Под ред. Гетьмана В.Г. - 2 изд.-М.:НИЦ ИНФРА-М,2019-601с.(ВО:Бакалавр.)(П)</t>
  </si>
  <si>
    <t>БУХГАЛТЕРСКИЙ УЧЕТ, ИЗД.2</t>
  </si>
  <si>
    <t>Гетьман В.Г., Керимов В.Э., Бабаева З.Д. и др.</t>
  </si>
  <si>
    <t>978-5-16-011561-0</t>
  </si>
  <si>
    <t>Рекомендовано Государственным университетом управления в качестве учебника для студентов вузов, обучающихся по направлению 38.03.01 «Экономика» (уровень подготовки «бакалавр»)</t>
  </si>
  <si>
    <t>078500.13.01</t>
  </si>
  <si>
    <t>Бухгалтерский учет: Уч.пос. / Л.М.Бурмистрова - 4 изд. - М.:НИЦ ИНФРА-М,2022 - 304 с.-(СПО)(П)</t>
  </si>
  <si>
    <t>Бурмистрова Л.М.</t>
  </si>
  <si>
    <t>978-5-16-015682-8</t>
  </si>
  <si>
    <t>38.02.04, 38.02.05, 40.02.01, 38.02.06, 38.02.07, 38.02.01, 38.02.02, 38.02.03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</si>
  <si>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</si>
  <si>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</si>
  <si>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</si>
  <si>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</si>
  <si>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</si>
  <si>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0314</t>
  </si>
  <si>
    <t>073010.06.01</t>
  </si>
  <si>
    <t>Бухгалтерский учет: Шпаргалка, - 5-е изд.-М.:ИЦ РИОР,.-159 с..-(Шпаргалка [отрывная])(О)</t>
  </si>
  <si>
    <t>БУХГАЛТЕРСКИЙ УЧЕТ, ИЗД.5</t>
  </si>
  <si>
    <t>978-5-369-01599-5</t>
  </si>
  <si>
    <t>344200.04.01</t>
  </si>
  <si>
    <t>Бухгалтерский учет:учет оборот.средств: Уч.пос./В.И.Бережной-М.:НИЦ ИНФРА-М,2023-192с.(ВО:Бакалавр.)</t>
  </si>
  <si>
    <t>БУХГАЛТЕРСКИЙ УЧЕТ: УЧЕТ ОБОРОТНЫХ СРЕДСТВ</t>
  </si>
  <si>
    <t>Бережной В.И., Суспицына Г.Г., Бигдай О.Б. и др.</t>
  </si>
  <si>
    <t>978-5-16-010784-4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</si>
  <si>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Регистрационный номер рецензии 022 от 29 января 2015 г. (ФГАУ ФИРО)</t>
  </si>
  <si>
    <t>390600.04.01</t>
  </si>
  <si>
    <t>Бухгалтерский фин. учет. Практикум: Уч.пос. / А.М.Петров - М.: Вуз.уч., НИЦ ИНФРА-М, 2023-280с. (п)</t>
  </si>
  <si>
    <t>БУХГАЛТЕРСКИЙ ФИНАНСОВЫЙ УЧЕТ. ПРАКТИКУМ</t>
  </si>
  <si>
    <t>ПетровА.М.</t>
  </si>
  <si>
    <t>Финансовый университет при Правительстве РФ</t>
  </si>
  <si>
    <t>978-5-9558-0456-9</t>
  </si>
  <si>
    <t>175000.08.01</t>
  </si>
  <si>
    <t>Бухгалтерский финанс. учет в сельском хоз.: Уч.пос. / А.М.Сайгидмагомедов - 2 изд.-М.:НИЦ ИНФРА-М,2024.-561 с.(П)</t>
  </si>
  <si>
    <t>БУХГАЛТЕРСКИЙ ФИНАНСОВЫЙ УЧЕТ В СЕЛЬСКОМ ХОЗЯЙСТВЕ, ИЗД.2</t>
  </si>
  <si>
    <t>Сайгидмагомедов А.М.</t>
  </si>
  <si>
    <t>978-5-16-016146-4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</si>
  <si>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 от 20.01.2021)</t>
  </si>
  <si>
    <t>108700.12.01</t>
  </si>
  <si>
    <t>Бухгалтерский финансовый учет в сельском хоз.: Уч./Г.М.Лисович - 2 изд. - Вуз.уч.:ИНФРА-М,2024-288с(П)</t>
  </si>
  <si>
    <t>Лисович Г. М.</t>
  </si>
  <si>
    <t>978-5-9558-0377-7</t>
  </si>
  <si>
    <t>38.02.04, 40.02.01, 38.02.07, 38.02.01, 38.02.03, 38.03.01, 38.03.02</t>
  </si>
  <si>
    <t>Рекомендовано Учебно-методическим объединением вузов России по образованию в области финансов, бухгалтерского учета и мировой экономики в качестве учебного пособия для студентов высших учебных заведений, обучающихся по направлению «Экономика» (степен</t>
  </si>
  <si>
    <t>175000.05.01</t>
  </si>
  <si>
    <t>Бухгалтерский финансовый учет в сельском хозяйстве: уч.пос. / А.М.Сайгидмагомедов-М.:Форум, НИЦ ИНФРА-М,2018.-768 с..-(ВО: Магистратур</t>
  </si>
  <si>
    <t>БУХГАЛТЕРСКИЙ ФИНАНСОВЫЙ УЧЕТ В СЕЛЬСКОМ ХОЗЯЙСТВЕ</t>
  </si>
  <si>
    <t>Сайгидмагомедов А. М.</t>
  </si>
  <si>
    <t>978-5-91134-643-0</t>
  </si>
  <si>
    <t>742670.04.01</t>
  </si>
  <si>
    <t>Бухгалтерский финансовый учет: теория и практика: Уч. / Л.И.Воронина-М.:НИЦ ИНФРА-М,2024.-587с.(ВО)(п)</t>
  </si>
  <si>
    <t>БУХГАЛТЕРСКИЙ ФИНАНСОВЫЙ УЧЕТ: ТЕОРИЯ И ПРАКТИКА</t>
  </si>
  <si>
    <t>Воронина Л.И.</t>
  </si>
  <si>
    <t>978-5-16-019392-2</t>
  </si>
  <si>
    <t>38.02.01, 38.04.08, 38.03.01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</si>
  <si>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6 от 16.06.2021)</t>
  </si>
  <si>
    <t>Московский финансово-юридический университет</t>
  </si>
  <si>
    <t>289200.06.01</t>
  </si>
  <si>
    <t>Бухгалтерский финансовый учет: Уч. / Е.А.Мизиковский, - 2 изд.-М.:Магистр, НИЦ ИНФРА-М,2022.-624 с.(П)</t>
  </si>
  <si>
    <t>БУХГАЛТЕРСКИЙ ФИНАНСОВЫЙ УЧЕТ, ИЗД.2</t>
  </si>
  <si>
    <t>Мизиковский Е. А., Мизиковский И. Е.</t>
  </si>
  <si>
    <t>978-5-9776-0544-1</t>
  </si>
  <si>
    <t>38.04.09, 38.04.01, 38.03.01, 38.03.02, 41.03.06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</si>
  <si>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«Экономика» (уровень бакалавриата, уровень магистратуры)</t>
  </si>
  <si>
    <t>044100.17.01</t>
  </si>
  <si>
    <t>Бухгалтерский финансовый учет: Уч. / Ю.А.Бабаев - 5 изд. - М.: Вуз.. уч.: НИЦ ИНФРА-М, 2024-463с.(П)</t>
  </si>
  <si>
    <t>БУХГАЛТЕРСКИЙ ФИНАНСОВЫЙ УЧЕТ, ИЗД.5</t>
  </si>
  <si>
    <t>Бабаев Ю. А., Петров А. М., Макарова Л. Г., Бабаев Ю. А.</t>
  </si>
  <si>
    <t>978-5-9558-0388-3</t>
  </si>
  <si>
    <t>0515</t>
  </si>
  <si>
    <t>289200.05.01</t>
  </si>
  <si>
    <t>Бухгалтерский финансовый учет: Уч. пос. /Е.А. Мизиковский - М:Магистр: ИНФРА-М, 2022 -624с. (Бакалавриат)(П)</t>
  </si>
  <si>
    <t>БУХГАЛТЕРСКИЙ ФИНАНСОВЫЙ УЧЕТ</t>
  </si>
  <si>
    <t>978-5-9776-0310-2</t>
  </si>
  <si>
    <t>433650.05.01</t>
  </si>
  <si>
    <t>Бухгалтерский финансовый учет: Уч.пос. / И.В.Бахолдина, - 2 изд.-М.:НИЦ ИНФРА-М,2024.-277 с.(ВО)(П)</t>
  </si>
  <si>
    <t>Бахолдина И.В., Голышева Н.И.</t>
  </si>
  <si>
    <t>978-5-16-016380-2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</si>
  <si>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подготовки 38.03.01 «Экономика» (профиль «Бухгалтерский учет, анализ и аудит»)</t>
  </si>
  <si>
    <t>433650.03.01</t>
  </si>
  <si>
    <t>Бухгалтерский финансовый учет: уч.пос. / И.В.Бахолдина-М.:Форум, НИЦ ИНФРА-М,2018.-320 с..-(ВО: Бакалавриат)(О. КБС)</t>
  </si>
  <si>
    <t>Бахолдина И. В., Голышева Н. И.</t>
  </si>
  <si>
    <t>978-5-91134-739-0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</si>
  <si>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«Бухгалтерский учет, анализ и аудит»</t>
  </si>
  <si>
    <t>281700.04.01</t>
  </si>
  <si>
    <t>Бухгалтерский финансовый учет: Уч.пос. / Н.Н.Бондина - М.:НИЦ ИНФРА-М,2022 - 418с.(ВО:Бакалавр.)(п)</t>
  </si>
  <si>
    <t>БондинаН.Н., БондинИ.А., ЗубковаТ.В. и др.</t>
  </si>
  <si>
    <t>978-5-16-009858-6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</si>
  <si>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38.03.01 «Экономика"</t>
  </si>
  <si>
    <t>483250.03.01</t>
  </si>
  <si>
    <t>Бухгалтерский финансовый учет: Уч.пос. / Под ред. Сигидова Ю.И.-М.:НИЦ ИНФРА-М,2019-367с.(ВО)(П)</t>
  </si>
  <si>
    <t>Сигидов Ю.И., Ясменко Г.Н., Рыбянцева М.С. и др.</t>
  </si>
  <si>
    <t>978-5-16-010482-9</t>
  </si>
  <si>
    <t>38.04.01, 38.04.08, 38.04.02, 38.03.01, 38.03.02, 44.03.05</t>
  </si>
  <si>
    <t>283700.03.01</t>
  </si>
  <si>
    <t>Бухгалтерский экологич.учет и анализ: Уч.пос. / А.И.Белоусов-М.:Форум, НИЦ ИНФРА-М,2017.-224 с(О)</t>
  </si>
  <si>
    <t>БУХГАЛТЕРСКИЙ ЭКОЛОГИЧЕСКИЙ УЧЕТ И АНАЛИЗ</t>
  </si>
  <si>
    <t>Белоусов А. И., Шелухина Е. А., Близно Л. В.</t>
  </si>
  <si>
    <t>978-5-91134-901-1</t>
  </si>
  <si>
    <t>Рекомендовано УМ 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</t>
  </si>
  <si>
    <t>Северо-Кавказский федеральный университет</t>
  </si>
  <si>
    <t>298700.06.01</t>
  </si>
  <si>
    <t>Бухгалтерское дело: Уч. / М.А.Вахрушина - М.:Вуз. уч., НИЦ ИНФРА-М,2022 - 376 с.(П)</t>
  </si>
  <si>
    <t>БУХГАЛТЕРСКОЕ ДЕЛО, ИЗД.2</t>
  </si>
  <si>
    <t>Вахрушина М.А.</t>
  </si>
  <si>
    <t>978-5-9558-0386-9</t>
  </si>
  <si>
    <t>121900.09.01</t>
  </si>
  <si>
    <t>Бухгалтерское дело: Уч. / Под ред. Шахбанова Р.Б., - 3 изд.-М.:Магистр, НИЦ ИНФРА-М,2024.-592 с.(П)</t>
  </si>
  <si>
    <t>БУХГАЛТЕРСКОЕ ДЕЛО, ИЗД.3</t>
  </si>
  <si>
    <t>Шахбанов Р. Б.</t>
  </si>
  <si>
    <t>978-5-9776-0490-1</t>
  </si>
  <si>
    <t>38.02.04, 40.02.01, 38.02.07, 38.02.01, 38.02.03, 38.04.09, 38.04.07, 38.04.01, 38.04.08, 38.04.06, 38.04.02, 38.04.03, 38.04.04, 38.04.05, 38.03.01, 38.03.05, 38.03.06, 38.03.07, 38.03.02, 38.03.04, 38.03.03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</si>
  <si>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специальности 060500 "Бухгалтерский учет, анализ и аудит"</t>
  </si>
  <si>
    <t>0318</t>
  </si>
  <si>
    <t>121900.05.01</t>
  </si>
  <si>
    <t>Бухгалтерское дело: Уч. пос./Под ред. Р.Б.Шахбанова -Изд. с обновл.-М.:Магистр,ИНФРА-М,2017-384с.(П)</t>
  </si>
  <si>
    <t>БУХГАЛТЕРСКОЕ ДЕЛО</t>
  </si>
  <si>
    <t>Р.Б.Шахбанов, З.Ш.Бабаева, Ж.Б.Рабаданова и др.</t>
  </si>
  <si>
    <t>978-5-9776-0193-1</t>
  </si>
  <si>
    <t>482050.03.01</t>
  </si>
  <si>
    <t>Бухгалтерское дело: Уч.пос. / Н.В.Предеус - М.:ИЦ РИОР,НИЦ ИНФРА-М,2019 - 304 с.-(ВО: Бакалавр.)(п)</t>
  </si>
  <si>
    <t>Предеус Н.В., Церпенто С.И., Предеус Ю.В.</t>
  </si>
  <si>
    <t>978-5-369-01400-4</t>
  </si>
  <si>
    <t>425250.06.01</t>
  </si>
  <si>
    <t>Бухгалтерское дело: Уч.пос. /Ю.И.Сигидов и др. - 2 изд.-М.:НИЦ ИНФРА-М,2023.-208 с..-(ВО: Бакалавриат)(П)</t>
  </si>
  <si>
    <t>Сигидов Ю. И., Рыбянцева М. С., Ясменко Г. Н., Заболотная И. А., Сигидов Ю. И., Трубилин А. И.</t>
  </si>
  <si>
    <t>978-5-16-006587-8</t>
  </si>
  <si>
    <t>Рекомендовано ФГБОУ ВПО «Государственный университет управления" в качестве учебного пособия для студентов высших учебных заведений, обучающихся по направлению подготовки 38.03 01 (080100) «Экономика" (квалификация (степень) «бакалавр")</t>
  </si>
  <si>
    <t>777261.01.01</t>
  </si>
  <si>
    <t>Бюджет и бюджетная система РФ: Уч.пос. / О.Г.Аркадьева-М.:НИЦ ИНФРА-М,2023.-225 с.(ВО: Бакалавр.)(П)</t>
  </si>
  <si>
    <t>БЮДЖЕТ И БЮДЖЕТНАЯ СИСТЕМА РОССИЙСКОЙ ФЕДЕРАЦИИ</t>
  </si>
  <si>
    <t>Аркадьева О.Г., Березина Н.В., Морозова Н.В.</t>
  </si>
  <si>
    <t>978-5-16-017724-3</t>
  </si>
  <si>
    <t>38.05.01, 38.03.01, 38.03.04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</si>
  <si>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38.03.04 «Государственное и муниципальное управление» (квалификация (степень) «бакалавр») (протокол № 9 от 17.11.2022)</t>
  </si>
  <si>
    <t>Чувашский государственный университет им. И.Н. Ульянова</t>
  </si>
  <si>
    <t>485950.05.01</t>
  </si>
  <si>
    <t>Бюджет России: развитие и обеспеч. экономич.безопас.:Моногр./В.К.Сенчагов-М.:ИНФРА-М,2024-384 с.(П)</t>
  </si>
  <si>
    <t>БЮДЖЕТ РОССИИ: РАЗВИТИЕ И ОБЕСПЕЧЕНИЕ ЭКОНОМИЧЕСКОЙ БЕЗОПАСНОСТИ</t>
  </si>
  <si>
    <t>Сенчагов В.К.</t>
  </si>
  <si>
    <t>978-5-16-010597-0</t>
  </si>
  <si>
    <t>38.06.01</t>
  </si>
  <si>
    <t>468550.08.01</t>
  </si>
  <si>
    <t>Бюджетирование в сист.упр.уч..: Моногр. /М.А.Вахрушина -М.:Вуз.уч.,НИЦ ИНФРА-М,2024-114с(Науч.книга)(О)</t>
  </si>
  <si>
    <t>БЮДЖЕТИРОВАНИЕ В СИСТЕМЕ УПРАВЛЕНЧЕСКОГО УЧЕТА МАЛОГО БИЗНЕСА: МЕТОДИКА И ОРГАНИЗАЦИЯ ПОСТАНОВКИ</t>
  </si>
  <si>
    <t>Вахрушина М.А., Пашкова Л.В.</t>
  </si>
  <si>
    <t>978-5-9558-0374-6</t>
  </si>
  <si>
    <t>38.04.08, 38.04.04, 38.03.04, 41.03.06</t>
  </si>
  <si>
    <t>437050.04.01</t>
  </si>
  <si>
    <t>Бюджетирование в учетно-аналит...: Моногр. / Е.А.Иванов - М.:НИЦ ИНФРА-М,2017-170с.(Науч.мысль)(о)</t>
  </si>
  <si>
    <t>БЮДЖЕТИРОВАНИЕ В УЧЕТНО-АНАЛИТИЧЕСКИХ СИСТЕМАХ МНОГОСЕГМЕНТНЫХ ОРГАНИЗАЦИЙ</t>
  </si>
  <si>
    <t>Иванов Е.А.</t>
  </si>
  <si>
    <t>978-5-16-006720-9</t>
  </si>
  <si>
    <t>38.04.08, 38.04.02, 38.03.01, 38.03.02, 44.03.05</t>
  </si>
  <si>
    <t>Чувашский государственный аграрный университет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</si>
  <si>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</si>
  <si>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</si>
  <si>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</si>
  <si>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</si>
  <si>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</si>
  <si>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40.02.01, 40.02.02, 38.02.06, 38.02.01</t>
  </si>
  <si>
    <t>42</t>
  </si>
  <si>
    <t>402600.13.01</t>
  </si>
  <si>
    <t>Бюджетная система РФ: Уч. / Ф.И.Ниналалова - М.:НИЦ ИНФРА-М,2023 - 297 с.(ВО)(п)</t>
  </si>
  <si>
    <t>БЮДЖЕТНАЯ СИСТЕМА РОССИЙСКОЙ ФЕДЕРАЦИИ</t>
  </si>
  <si>
    <t>Ниналалова Ф.И.</t>
  </si>
  <si>
    <t>978-5-16-018683-2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</si>
  <si>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11 от 09.11.2020)</t>
  </si>
  <si>
    <t>337300.06.01</t>
  </si>
  <si>
    <t>Бюджетная система РФ: Уч.пос. / А.С.Нечаев и др. - М.:НИЦ ИНФРА-М,2019 - 266 с.-(ВО:Магистратура)(П)</t>
  </si>
  <si>
    <t>Нечаев А.С., Антипин Д.А., Антипина О.В.</t>
  </si>
  <si>
    <t>978-5-16-010705-9</t>
  </si>
  <si>
    <t>38.04.01, 38.04.04, 38.03.01, 38.03.04</t>
  </si>
  <si>
    <t>Иркутский национальный исследовательский технический университет</t>
  </si>
  <si>
    <t>402600.07.01</t>
  </si>
  <si>
    <t>Бюджетная система РФ: Уч.пос. / Ф.И.Ниналалова - 2 изд. - М.:Вуз. уч.,НИЦ ИНФРА-М,2020 - 296 с.(П)</t>
  </si>
  <si>
    <t>БЮДЖЕТНАЯ СИСТЕМА РОССИЙСКОЙ ФЕДЕРАЦИИ, ИЗД.2</t>
  </si>
  <si>
    <t>978-5-9558-0533-7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</si>
  <si>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и специальности / профилю «Финансы и кредит»</t>
  </si>
  <si>
    <t>683010.08.01</t>
  </si>
  <si>
    <t>Бюджетное планирование и прогнозирование: Уч.пос. / О.В.Макашина-М.:НИЦ ИНФРА-М,2024.-247 с.(ВО)(п)</t>
  </si>
  <si>
    <t>БЮДЖЕТНОЕ ПЛАНИРОВАНИЕ И ПРОГНОЗИРОВАНИЕ</t>
  </si>
  <si>
    <t>Макашина О.В.</t>
  </si>
  <si>
    <t>978-5-16-018808-9</t>
  </si>
  <si>
    <t>38.04.01, 38.03.01, 38.03.04</t>
  </si>
  <si>
    <t>158600.07.01</t>
  </si>
  <si>
    <t>Бюджетное право России: Уч. / Х.В. Пешкова - М.: ИНФРА-М:  Контракт, 2015. - 416 с.(ВО) (п)</t>
  </si>
  <si>
    <t>БЮДЖЕТНОЕ ПРАВО РОССИИ</t>
  </si>
  <si>
    <t>Пешкова Х.В.</t>
  </si>
  <si>
    <t>ИНФРА-М Издательский Дом</t>
  </si>
  <si>
    <t>978-5-16-005156-7</t>
  </si>
  <si>
    <t>40.05.04, 40.02.01, 40.02.02, 40.03.01, 40.04.01, 38.04.08, 40.05.01, 40.05.02, 40.05.03, 38.03.01, 38.03.04, 40.02.03</t>
  </si>
  <si>
    <t>Рекомендовано в качестве учебника для студентов высших учебных заведений, обучающихся по направлению 030900 «Юриспруденция»</t>
  </si>
  <si>
    <t>Воронежский институт Федеральной службы исполнения наказаний России</t>
  </si>
  <si>
    <t>158600.13.01</t>
  </si>
  <si>
    <t>Бюджетное право России: Уч. / Х.В.Пешкова, - 2-е изд.-М.:НИЦ ИНФРА-М,2023.-404 с.(ВО: Бакалавр.)(П)</t>
  </si>
  <si>
    <t>БЮДЖЕТНОЕ ПРАВО РОССИИ, ИЗД.2</t>
  </si>
  <si>
    <t>Белогорцева Х.В.</t>
  </si>
  <si>
    <t>978-5-16-012191-8</t>
  </si>
  <si>
    <t>Рекомендовано в качестве учебника для студентов высших учебных заведений, обучающихся по направлению подготовки 40.03.01 «Юриспруденция» (квалификация (степень) «бакалавр»)</t>
  </si>
  <si>
    <t>117350.06.01</t>
  </si>
  <si>
    <t>Бюджетное право: Уч.пос. / О.В.Болтинова - 3 изд. - М.:Юр.Норма, НИЦ ИНФРА-М,2020-256с(П)</t>
  </si>
  <si>
    <t>БЮДЖЕТНОЕ ПРАВО, ИЗД.3</t>
  </si>
  <si>
    <t>Болтинова О.В.</t>
  </si>
  <si>
    <t>978-5-91768-862-6</t>
  </si>
  <si>
    <t>40.05.04, 40.03.01, 40.04.01, 38.04.08, 40.05.01, 40.05.02, 40.05.03, 38.03.01</t>
  </si>
  <si>
    <t>712995.01.01</t>
  </si>
  <si>
    <t>Бюджетное право: Уч.пос. / О.В.Болтинова - 3 изд. - М.:Юр.Норма,НИЦ ИНФРА-М,2019 - 256 с.-(СПО)(П)</t>
  </si>
  <si>
    <t>978-5-00156-011-1</t>
  </si>
  <si>
    <t>40.02.01, 38.02.06, 38.02.07, 38.02.01</t>
  </si>
  <si>
    <t>0319</t>
  </si>
  <si>
    <t>117350.07.01</t>
  </si>
  <si>
    <t>Бюджетное право: Уч.пос. / О.В.Болтинова - 4 изд. - М.:Юр.Норма, НИЦ ИНФРА-М,2023-260с(П)</t>
  </si>
  <si>
    <t>БЮДЖЕТНОЕ ПРАВО, ИЗД.4</t>
  </si>
  <si>
    <t>978-5-00156-295-5</t>
  </si>
  <si>
    <t>Март, 2023</t>
  </si>
  <si>
    <t>0423</t>
  </si>
  <si>
    <t>801691.01.01</t>
  </si>
  <si>
    <t>Бюджетное устройство и бюджетный процесс: Уч.пос. / М.В.Кучиева-М.:Магистр, 2023.-100 с.(о)</t>
  </si>
  <si>
    <t>БЮДЖЕТНОЕ УСТРОЙСТВО И БЮДЖЕТНЫЙ ПРОЦЕСС</t>
  </si>
  <si>
    <t>Кучиева М.В.</t>
  </si>
  <si>
    <t>978-5-9776-0550-2</t>
  </si>
  <si>
    <t>38.04.01, 38.04.08, 38.04.02, 38.04.04, 38.03.01, 38.03.02, 38.03.04</t>
  </si>
  <si>
    <t>248500.08.01</t>
  </si>
  <si>
    <t>Бюджетное устройство России: Моногр./Х.В.Пешкова - М.: НИЦ ИНФРА-М, 2024-176с.(Науч. мысль; Право)(О)</t>
  </si>
  <si>
    <t>БЮДЖЕТНОЕ УСТРОЙСТВО РОССИИ</t>
  </si>
  <si>
    <t>Пешкова Х. В.</t>
  </si>
  <si>
    <t>978-5-16-009332-1</t>
  </si>
  <si>
    <t>40.05.04, 40.03.01, 40.04.01, 38.04.08, 40.05.01, 40.05.02, 40.05.03</t>
  </si>
  <si>
    <t>488350.04.01</t>
  </si>
  <si>
    <t>Бюджетное устройство РФ: теория и практика: Моногр./Н.М.Сабитова-М.:НИЦ ИНФРА-М,2019-132с-(о)</t>
  </si>
  <si>
    <t>БЮДЖЕТНОЕ УСТРОЙСТВО РОССИЙСКОЙ ФЕДЕРАЦИИ: ТЕОРИЯ И ПРАКТИКА</t>
  </si>
  <si>
    <t>Сабитова Н.М.</t>
  </si>
  <si>
    <t>978-5-16-010691-5</t>
  </si>
  <si>
    <t>322700.04.01</t>
  </si>
  <si>
    <t>Бюджетное устройство РФ:теор.аспекты:Моногр. / Н.М.Сабитова-М.:НИЦ ИНФРА-М,2019-182с.(Науч.мысль)(О)</t>
  </si>
  <si>
    <t>БЮДЖЕТНОЕ УСТРОЙСТВО РОССИЙСКОЙ ФЕДЕРАЦИИ: ТЕОРЕТИЧЕСКИЕ АСПЕКТЫ</t>
  </si>
  <si>
    <t>978-5-16-010491-1</t>
  </si>
  <si>
    <t>38.04.09, 38.04.01, 38.04.08, 38.03.01</t>
  </si>
  <si>
    <t>765634.04.01</t>
  </si>
  <si>
    <t>Бюджетные системы России и Китая...: Моногр. / А.А.Трофимов - М.:НИЦ ИНФРА-М,2023 - 215 с.(Науч.мысль)(п)</t>
  </si>
  <si>
    <t>БЮДЖЕТНЫЕ СИСТЕМЫ РОССИИ И КИТАЯ: ВОПРОСЫ ПРАВОВОГО РЕГУЛИРОВАНИЯ</t>
  </si>
  <si>
    <t>Трофимов А.А.</t>
  </si>
  <si>
    <t>978-5-16-018491-3</t>
  </si>
  <si>
    <t>40.03.01, 40.04.01, 38.04.01, 38.04.08, 38.06.01, 40.06.01</t>
  </si>
  <si>
    <t>Санкт-Петербургский государственный университет</t>
  </si>
  <si>
    <t>682756.05.01</t>
  </si>
  <si>
    <t>Бюджетный контроль: Уч.пос. / О.В.Болтинова - М.:Юр.Норма, НИЦ ИНФРА-М,2023 - 160 с.(П)</t>
  </si>
  <si>
    <t>БЮДЖЕТНЫЙ КОНТРОЛЬ</t>
  </si>
  <si>
    <t>Болтинова О.В., Петрова И.В.</t>
  </si>
  <si>
    <t>978-5-91768-913-5</t>
  </si>
  <si>
    <t>40.05.04, 40.03.01, 38.04.09, 40.04.01, 38.04.01, 38.04.08, 38.04.04, 40.05.01, 40.05.02, 40.05.03, 38.05.01, 38.03.01, 38.03.04, 44.03.05</t>
  </si>
  <si>
    <t>712993.02.01</t>
  </si>
  <si>
    <t>Бюджетный контроль: Уч.пос. / О.В.Болтинова-М.:Юр.Норма, НИЦ ИНФРА-М,2023.-160 с.(СПО)(П)</t>
  </si>
  <si>
    <t>978-5-00156-010-4</t>
  </si>
  <si>
    <t>40.02.01, 40.02.02, 38.02.06, 38.02.07, 40.02.03</t>
  </si>
  <si>
    <t>453500.05.01</t>
  </si>
  <si>
    <t>В поисках новых моделей финанс. рынка и...: Моногр./Э.Г.Дадян-М.:Вуз. уч., НИЦ ИНФРА-М,2018.-124 с.(о)</t>
  </si>
  <si>
    <t>В ПОИСКАХ НОВЫХ МОДЕЛЕЙ ФИНАНСОВОГО РЫНКА И ОБРАЗОВАТЕЛЬНОЙ ДЕЯТЕЛЬНОСТИ</t>
  </si>
  <si>
    <t>ДадянЭ.Г.</t>
  </si>
  <si>
    <t>Научная книга</t>
  </si>
  <si>
    <t>978-5-9558-0473-6</t>
  </si>
  <si>
    <t>38.00.00, 44.00.00, 38.04.08</t>
  </si>
  <si>
    <t>726662.03.01</t>
  </si>
  <si>
    <t>Валютное регулирование и валютный контроль...: Уч.пос. / Ю.В.Леднева-М.:Юр.Норма, НИЦ ИНФРА-М,2022-136 с.(О)</t>
  </si>
  <si>
    <t>ВАЛЮТНОЕ РЕГУЛИРОВАНИЕ И ВАЛЮТНЫЙ КОНТРОЛЬ: ПРАВОВЫЕ ОСНОВЫ</t>
  </si>
  <si>
    <t>Леднева Ю.В.</t>
  </si>
  <si>
    <t>978-5-00156-040-1</t>
  </si>
  <si>
    <t>Институт законодательства и сравнительного правоведения при Правительстве Российской Федерации</t>
  </si>
  <si>
    <t>296900.06.01</t>
  </si>
  <si>
    <t>Валютный дилинг: Уч.пос./Л.Г.Кузнецова-М.:Магистр,НИЦ ИНФРА-М,2024-288с.(Бакалавриат)(п)</t>
  </si>
  <si>
    <t>ВАЛЮТНЫЙ ДИЛИНГ</t>
  </si>
  <si>
    <t>Кузнецова Л. Г.</t>
  </si>
  <si>
    <t>978-5-9776-0326-3</t>
  </si>
  <si>
    <t>Рекомендовано ФГБОУ ВПО «Финансовый университет при Правительстве Российской Федерации»в качестве учебного пособия для студентов высших учебных заведений, обучающихся по направлению подготовки магистров 080300.68 «Финансы и кредит»</t>
  </si>
  <si>
    <t>Тихоокеанский государственный университет</t>
  </si>
  <si>
    <t>751369.01.01</t>
  </si>
  <si>
    <t>Валютный контроль: Уч.пос. / А.А.Ситник и др. - М.:Юр.Норма, НИЦ ИНФРА-М,2021 - 216 с.(П)</t>
  </si>
  <si>
    <t>ВАЛЮТНЫЙ КОНТРОЛЬ</t>
  </si>
  <si>
    <t>Ситник А.А., Рождественская Т.Э., Арзуманова Л.Л. и др.</t>
  </si>
  <si>
    <t>978-5-00156-151-4</t>
  </si>
  <si>
    <t>110410.09.01</t>
  </si>
  <si>
    <t>Введение в профессию бухгалтера: Уч. пос. / В.Д. Андреев - М.: Магистр:НИЦ ИНФРА-М, 2023-192с. (о)</t>
  </si>
  <si>
    <t>ВВЕДЕНИЕ В ПРОФЕССИЮ БУХГАЛТЕРА</t>
  </si>
  <si>
    <t>Андреев В. Д., Лисихина И. В.</t>
  </si>
  <si>
    <t>978-5-9776-0107-8</t>
  </si>
  <si>
    <t>Сочинский государственный университет</t>
  </si>
  <si>
    <t>485650.06.01</t>
  </si>
  <si>
    <t>Взаимосвязь контроллинга и упр.учета: Моногр. / Ю.И.Сигидов-М.:НИЦ ИНФРА-М,2024-168с.(Науч.мысль)(о)</t>
  </si>
  <si>
    <t>ВЗАИМОСВЯЗЬ КОНТРОЛЛИНГА И УПРАВЛЕНЧЕСКОГО УЧЕТА</t>
  </si>
  <si>
    <t>Сигидов Ю.И., Рыбянцева М.С.</t>
  </si>
  <si>
    <t>978-5-16-010589-5</t>
  </si>
  <si>
    <t>38.03.01, 38.03.02, 38.03.03, 41.03.06</t>
  </si>
  <si>
    <t>659708.06.01</t>
  </si>
  <si>
    <t>Виртуализация современных финансов: Моногр. / М.А.Сажина-М.:ИД ФОРУМ,НИЦ ИНФРА-М,2021-120с(О)</t>
  </si>
  <si>
    <t>ВИРТУАЛИЗАЦИЯ СОВРЕМЕННЫХ ФИНАНСОВ</t>
  </si>
  <si>
    <t>Сажина М.А.</t>
  </si>
  <si>
    <t>978-5-8199-0820-4</t>
  </si>
  <si>
    <t>38.04.01, 38.04.08, 38.04.02, 38.03.01, 38.03.02</t>
  </si>
  <si>
    <t>Московский государственный университет им. М.В. Ломоносова, факультет государственного управления</t>
  </si>
  <si>
    <t>294900.10.01</t>
  </si>
  <si>
    <t>Влияние гражд.права на налог.отношения: Моногр. / А.А.Рябов - М.:Юр.Норма, НИЦ ИНФРА-М,2023.-224с</t>
  </si>
  <si>
    <t>ВЛИЯНИЕ ГРАЖДАНСКОГО ПРАВА НА НАЛОГОВЫЕ ОТНОШЕНИЯ</t>
  </si>
  <si>
    <t>Рябов А. А.</t>
  </si>
  <si>
    <t>978-5-91768-524-3</t>
  </si>
  <si>
    <t>40.03.01, 38.03.04, 44.03.05</t>
  </si>
  <si>
    <t>689659.03.01</t>
  </si>
  <si>
    <t>Внедрение и практ.применение соврем.финан.тех.:Моногр./ Г.Ф.Ручкина-М.:НИЦ ИНФРА-М,2024-161с(О)</t>
  </si>
  <si>
    <t>ВНЕДРЕНИЕ И ПРАКТИЧЕСКОЕ ПРИМЕНЕНИЕ СОВРЕМЕННЫХ ФИНАНСОВЫХ ТЕХНОЛОГИЙ: ЗАКОНОДАТЕЛЬНОЕ РЕГУЛИРОВАНИЕ</t>
  </si>
  <si>
    <t>Ручкина Г.Ф., Березин М.Ю., Демченко М.В. и др.</t>
  </si>
  <si>
    <t>Научная мысль - 100 лет ФУ</t>
  </si>
  <si>
    <t>978-5-16-014380-4</t>
  </si>
  <si>
    <t>40.03.01, 38.04.09, 27.04.07, 40.04.01, 38.04.08, 44.03.05</t>
  </si>
  <si>
    <t>641467.04.01</t>
  </si>
  <si>
    <t>Внешнеэкономическая деятельность: налогообл., учет, анализ и аудит: Уч. / Под ред. Бурденко Е.В.-М.:НИЦ ИНФРА-М,2020-249с.-(ВО)(П)</t>
  </si>
  <si>
    <t>ВНЕШНЕЭКОНОМИЧЕСКАЯ ДЕЯТЕЛЬНОСТЬ: НАЛОГООБЛОЖЕНИЕ, УЧЕТ, АНАЛИЗ И АУДИТ</t>
  </si>
  <si>
    <t>Бурденко Е.В., Быкасова Е.В., Ковалева О.Н. и др.</t>
  </si>
  <si>
    <t>978-5-16-012441-4</t>
  </si>
  <si>
    <t>Рекомендовано в качестве учебника для студентов высших учебных заведений, обучающихся по направлениям подготовки 38.04.01 «Экономика» (квалификация (степень) «магистр»)</t>
  </si>
  <si>
    <t>641467.10.01</t>
  </si>
  <si>
    <t>Внешнеэкономическая деятельность: Уч. / Под ред. Бурденко Е.В., - 2 изд.-М.:НИЦ ИНФРА-М,2024.-255с(ВО)(п)</t>
  </si>
  <si>
    <t>ВНЕШНЕЭКОНОМИЧЕСКАЯ ДЕЯТЕЛЬНОСТЬ: НАЛОГООБЛОЖЕНИЕ, УЧЕТ, АНАЛИЗ И АУДИТ, ИЗД.2</t>
  </si>
  <si>
    <t>Высшее образование (РЭУ)</t>
  </si>
  <si>
    <t>978-5-16-019203-1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</si>
  <si>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16.06.2021)</t>
  </si>
  <si>
    <t>439800.03.01</t>
  </si>
  <si>
    <t>Внешний долг России: Моногр. / Н.О.Люшнина - М.: НИЦ ИНФРА-М, 2017. -132 с.. -(Научная мысль) (О)</t>
  </si>
  <si>
    <t>ВНЕШНИЙ ДОЛГ РОССИИ</t>
  </si>
  <si>
    <t>Люшнина Н.О., Николайчук О.А.</t>
  </si>
  <si>
    <t>978-5-16-011364-7</t>
  </si>
  <si>
    <t>38.04.01, 38.04.08, 38.06.01, 38.03.01</t>
  </si>
  <si>
    <t>439800.04.01</t>
  </si>
  <si>
    <t>Внешний долг России: Моногр. / Н.О.Люшнина, - 2 изд., -М.:НИЦ ИНФРА-М,2018.-132 с(Науч.мысль)(О)</t>
  </si>
  <si>
    <t>ВНЕШНИЙ ДОЛГ РОССИИ, ИЗД.2</t>
  </si>
  <si>
    <t>439800.05.01</t>
  </si>
  <si>
    <t>Внешний долг России: Моногр. / Н.О.Люшнина, - 3 изд., -М.:НИЦ ИНФРА-М,2019.-146 с(Науч.мысль)(О)</t>
  </si>
  <si>
    <t>ВНЕШНИЙ ДОЛГ РОССИИ, ИЗД.3</t>
  </si>
  <si>
    <t>Николайчук О.А., Люшнина Н.О.</t>
  </si>
  <si>
    <t>978-5-16-014673-7</t>
  </si>
  <si>
    <t>736621.03.01</t>
  </si>
  <si>
    <t>Внутренний аудит оценочных резервов и обязательств...: Моногр. / Н.А.Казакова - М.:НИЦ ИНФРА-М,2022-184 с.(О)</t>
  </si>
  <si>
    <t>ВНУТРЕННИЙ АУДИТ ОЦЕНОЧНЫХ РЕЗЕРВОВ И ОБЯЗАТЕЛЬСТВ КАК МЕТОД ДИАГНОСТИКИ КОРПОРАТИВНЫХ РИСКОВ</t>
  </si>
  <si>
    <t>Казакова Н.А., Чикурова С.С.</t>
  </si>
  <si>
    <t>978-5-16-016249-2</t>
  </si>
  <si>
    <t>38.04.01, 38.04.02, 38.06.01</t>
  </si>
  <si>
    <t>659216.04.01</t>
  </si>
  <si>
    <t>Внутренний контроль и контроллинг: Уч.пос./Под ред. Серебрякова Т.Ю.-М.:НИЦ ИНФРА-М,2024-238с(ВО)(П)</t>
  </si>
  <si>
    <t>ВНУТРЕННИЙ КОНТРОЛЬ И КОНТРОЛЛИНГ</t>
  </si>
  <si>
    <t>Серебрякова Т.Ю., Бирюкова О.А., Серебрякова Т.Ю.</t>
  </si>
  <si>
    <t>978-5-16-014369-9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</si>
  <si>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38.04.08 «Финансы» (квалификация (степень) «магистр») (протокол № 5 от 11.03.2019)</t>
  </si>
  <si>
    <t>170250.06.01</t>
  </si>
  <si>
    <t>Вопросы налоговых и бюджетных правоотн. в суд..: Моногр. / Х.В.Пешкова-М.:НИЦ ИНФРА-М,2018-184с(О)</t>
  </si>
  <si>
    <t>ВОПРОСЫ НАЛОГОВЫХ И БЮДЖЕТНЫХ ПРАВООТНОШЕНИЙ В СУДЕБНОЙ ПРАКТИКЕ</t>
  </si>
  <si>
    <t>978-5-16-005298-4</t>
  </si>
  <si>
    <t>40.03.01, 40.04.01, 38.04.01, 38.04.08, 38.04.02, 38.04.04, 40.05.02, 40.05.03, 38.05.01, 38.05.02, 38.03.01, 38.03.02, 38.03.04, 44.03.01, 44.03.05</t>
  </si>
  <si>
    <t>170250.08.01</t>
  </si>
  <si>
    <t>Вопросы налоговых и бюджетных правоотн. в суд..: Моногр./Х.В.Пешкова-2 изд.-М.:НИЦ ИНФРА-М,2022-253с(О)</t>
  </si>
  <si>
    <t>ВОПРОСЫ НАЛОГОВЫХ И БЮДЖЕТНЫХ ПРАВООТНОШЕНИЙ В СУДЕБНОЙ ПРАКТИКЕ, ИЗД.2</t>
  </si>
  <si>
    <t>978-5-16-014835-9</t>
  </si>
  <si>
    <t>337000.03.01</t>
  </si>
  <si>
    <t>Государственная фин.поддержка АПК..: Моногр. / М.Р.Пинская-М.:НИЦ ИНФРА-М,2018-178с.(Науч.мысль)(о)</t>
  </si>
  <si>
    <t>ГОСУДАРСТВЕННАЯ ФИНАНСОВАЯ ПОДДЕРЖКА АПК: НАЛОГОВЫЕ И БЮДЖЕТНЫЕ ИНСТРУМЕНТЫ</t>
  </si>
  <si>
    <t>Пинская М.Р., Тихонова А.В.</t>
  </si>
  <si>
    <t>978-5-16-011856-7</t>
  </si>
  <si>
    <t>38.04.01, 38.04.08, 38.04.02, 38.04.04, 35.04.04, 35.04.05, 35.06.01, 38.06.01, 35.03.05, 35.03.07, 35.03.04</t>
  </si>
  <si>
    <t>670831.02.01</t>
  </si>
  <si>
    <t>Государственное регулирование цен (тарифов) в РФ: Уч.пос. / С.Н.Зайкова -М.:НИЦ ИНФРА-М,2018-247с(П)</t>
  </si>
  <si>
    <t>ГОСУДАРСТВЕННОЕ РЕГУЛИРОВАНИЕ ЦЕН (ТАРИФОВ) В РОССИЙСКОЙ ФЕДЕРАЦИИ: АДМИНИСТРАТИВНО-ПРАВОВОЙ АСПЕКТ</t>
  </si>
  <si>
    <t>Зайкова С.Н.</t>
  </si>
  <si>
    <t>978-5-16-014046-9</t>
  </si>
  <si>
    <t>40.02.01, 40.02.02, 38.02.07, 46.03.02, 40.03.01, 40.04.01, 38.03.01, 38.03.04, 44.03.01, 44.03.05, 40.02.03</t>
  </si>
  <si>
    <t>Саратовская государственная юридическая академия</t>
  </si>
  <si>
    <t>732719.01.01</t>
  </si>
  <si>
    <t>Государственные и муниц. финансы: Уч. / Н.Н.Семенова.-М.:ИЦ РИОР, НИЦ ИНФРА-М,2020.-345 с.(ВО)(П)</t>
  </si>
  <si>
    <t>ГОСУДАРСТВЕННЫЕ И МУНИЦИПАЛЬНЫЕ ФИНАНСЫ</t>
  </si>
  <si>
    <t>Семенова Н.Н., Артемьева С.С., Бусалова С.Г. и др.</t>
  </si>
  <si>
    <t>978-5-369-01853-8</t>
  </si>
  <si>
    <t>38.04.01, 38.04.08, 38.04.06, 38.04.02, 38.03.01, 38.03.02, 44.03.05</t>
  </si>
  <si>
    <t>Национальный исследовательский Мордовский государственный университет им. Н.П. Огарева</t>
  </si>
  <si>
    <t>042350.21.01</t>
  </si>
  <si>
    <t>Государственные и муниципальные финансы: Уч. / И.Н.Мысляева - 4 изд. - М.:НИЦ ИНФРА-М,2018-444с.(ВО)</t>
  </si>
  <si>
    <t>ГОСУДАРСТВЕННЫЕ И МУНИЦИПАЛЬНЫЕ ФИНАНСЫ, ИЗД.4</t>
  </si>
  <si>
    <t>Мысляева И.Н.</t>
  </si>
  <si>
    <t>978-5-16-010681-6</t>
  </si>
  <si>
    <t>38.04.09, 25.04.03, 38.04.01, 38.04.08, 38.04.04, 23.03.01, 38.03.01, 38.03.04, 44.03.05</t>
  </si>
  <si>
    <t>Допущено Министерством образования Российской Федерации в качестве учебника образовательных организаций высшего образования по направлению подготовки 38.03.04 «Государственное и муниципальное управление» (квалификация (степень) «бакалавр»)</t>
  </si>
  <si>
    <t>0417</t>
  </si>
  <si>
    <t>042350.24.01</t>
  </si>
  <si>
    <t>Государственные и муниципальные финансы: Уч. / И.Н.Мысляева - 5 изд. - М.:НИЦ ИНФРА-М,2022 - 445 с.(ВО)(П)</t>
  </si>
  <si>
    <t>ГОСУДАРСТВЕННЫЕ И МУНИЦИПАЛЬНЫЕ ФИНАНСЫ, ИЗД.5</t>
  </si>
  <si>
    <t>978-5-16-014140-4</t>
  </si>
  <si>
    <t>0519</t>
  </si>
  <si>
    <t>712992.02.01</t>
  </si>
  <si>
    <t>Государственные и муниципальные финансы: Уч. / И.Н.Мысляева - 5 изд. - М.:НИЦ ИНФРА-М,2022 - 445 с.(СПО)(П)</t>
  </si>
  <si>
    <t>978-5-16-015383-4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</si>
  <si>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</si>
  <si>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</si>
  <si>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343300.05.01</t>
  </si>
  <si>
    <t>Государственные финансы Ренессанса...: Уч.пос. / М.П.Афанасьев -М.:Магистр,НИЦ ИНФРА-М,2023-144с.(П)</t>
  </si>
  <si>
    <t>ГОСУДАРСТВЕННЫЕ ФИНАНСЫ РЕНЕССАНСА: КАРАФА - ОРТИС - БОДЕН</t>
  </si>
  <si>
    <t>Кудрин А.Л., Афанасьев М.П.</t>
  </si>
  <si>
    <t>978-5-9776-0354-6</t>
  </si>
  <si>
    <t>Европейский университет в Санкт-Петербурге</t>
  </si>
  <si>
    <t>670273.02.01</t>
  </si>
  <si>
    <t>Государственный долг России в сист. финанс. права: Моногр. / Ю.К.Цареградская - М:ИНФРА-М,2022-166с(О)</t>
  </si>
  <si>
    <t>ГОСУДАРСТВЕННЫЙ ДОЛГ РОССИИ В СИСТЕМЕ ФИНАНСОВОГО ПРАВА</t>
  </si>
  <si>
    <t>Цареградская Ю.К.</t>
  </si>
  <si>
    <t>978-5-16-013838-1</t>
  </si>
  <si>
    <t>40.03.01, 38.04.09, 40.04.01, 38.04.08, 44.03.05</t>
  </si>
  <si>
    <t>282700.06.01</t>
  </si>
  <si>
    <t>Государственный и муниципальный долг: Уч.пос. / Л.Б.Мохнаткина - М.:НИЦ ИНФРА-М,2023 - 151с.(ВО:Бакалавр)(о)</t>
  </si>
  <si>
    <t>ГОСУДАРСТВЕННЫЙ И МУНИЦИПАЛЬНЫЙ ДОЛГ</t>
  </si>
  <si>
    <t>Мохнаткина Л. Б.</t>
  </si>
  <si>
    <t>978-5-16-009889-0</t>
  </si>
  <si>
    <t>Рекомендовано Федеральным государственным образовательным бюджетным учреждением высшего профессионального образования «Финансовый университет при Правительстве Российской Федерации» к использованию в образовательных учреждениях</t>
  </si>
  <si>
    <t>Оренбургский государственный университет</t>
  </si>
  <si>
    <t>797734.01.01</t>
  </si>
  <si>
    <t>Государственный финансовый контроль...: Уч.пос. / А.Н.Козырин.-М.:Юр. НОРМА, НИЦ ИНФРА-М,2023.-216 с.(п)</t>
  </si>
  <si>
    <t>ГОСУДАРСТВЕННЫЙ ФИНАНСОВЫЙ КОНТРОЛЬ: ФЕДЕРАЛЬНЫЕ ИНСТИТУТЫ</t>
  </si>
  <si>
    <t>Козырин А.Н., Ялбулганов А.А., Артюхин Р.Е.</t>
  </si>
  <si>
    <t>978-5-00156-283-2</t>
  </si>
  <si>
    <t>38.04.09, 40.04.01</t>
  </si>
  <si>
    <t>Российский университет дружбы народов</t>
  </si>
  <si>
    <t>Декабрь, 2022</t>
  </si>
  <si>
    <t>358300.03.01</t>
  </si>
  <si>
    <t>Гудвил: синергетическая сущность..: Моногр. /А.Е.Иванов -М.:ИЦ РИОР,НИЦ ИНФРА-М,2019-227с.(О)</t>
  </si>
  <si>
    <t>ГУДВИЛ: СИНЕРГЕТИЧЕСКАЯ СУЩНОСТЬ, ОЦЕНКА, УЧЕТ, АНАЛИЗ</t>
  </si>
  <si>
    <t>Иванов А.Е., Соколова Н.А., Генералова Н.В. и др.</t>
  </si>
  <si>
    <t>978-5-369-01451-6</t>
  </si>
  <si>
    <t>38.04.01, 38.04.02, 38.06.01, 38.03.01, 38.03.02</t>
  </si>
  <si>
    <t>213500.08.01</t>
  </si>
  <si>
    <t>Дебиторская задолженность: учет, анализ..: Уч.пос. / В.Ю.Сутягин-М.:НИЦ ИНФРА-М,2024.-216 с.(ВО)(п)</t>
  </si>
  <si>
    <t>ДЕБИТОРСКАЯ ЗАДОЛЖЕННОСТЬ: УЧЕТ, АНАЛИЗ, ОЦЕНКА И УПРАВЛЕНИЕ</t>
  </si>
  <si>
    <t>Сутягин В.Ю., Беспалов М.В.</t>
  </si>
  <si>
    <t>978-5-16-019174-4</t>
  </si>
  <si>
    <t>38.02.04, 38.02.07, 38.02.03, 38.04.09, 38.04.01, 38.04.08, 38.04.02, 38.03.01, 38.03.02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</si>
  <si>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</si>
  <si>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139500.11.01</t>
  </si>
  <si>
    <t>Деловой этикет: Уч.пос. / И.Н.Кузнецов - М.:НИЦ ИНФРА-М,2023 - 348 с.-(ВО)(п)</t>
  </si>
  <si>
    <t>ДЕЛОВОЙ ЭТИКЕТ</t>
  </si>
  <si>
    <t>Кузнецов И. Н.</t>
  </si>
  <si>
    <t>978-5-16-018532-3</t>
  </si>
  <si>
    <t>43.03.01, 38.03.01, 38.03.05, 38.03.06, 38.03.07, 38.03.02, 38.03.04, 38.03.03, 51.03.02</t>
  </si>
  <si>
    <t>Рекомендуется  в качестве учебного пособия для студентов высших учебных заведений, обучающихся по направлению 38.03.02 «Менеджмент» и 38.03.04 «Государственное и муниципальное управление»</t>
  </si>
  <si>
    <t>Белорусский государственный университет</t>
  </si>
  <si>
    <t>640457.04.01</t>
  </si>
  <si>
    <t>Деньги, кредит, банки: Уч. / А.А.Казимагомедов - 2 изд. - М.:НИЦ ИНФРА-М,2023 - 483 с.(ВО: Бак.)(П)</t>
  </si>
  <si>
    <t>ДЕНЬГИ, КРЕДИТ, БАНКИ, ИЗД.2</t>
  </si>
  <si>
    <t>978-5-16-012522-0</t>
  </si>
  <si>
    <t>38.04.01, 38.03.01, 44.03.05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</si>
  <si>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и налогообложение»</t>
  </si>
  <si>
    <t>163000.08.01</t>
  </si>
  <si>
    <t>Деньги, кредит, банки: Уч. / Е.А.Звонова и др. - М.:НИЦ ИНФРА-М,2023. - 592 с.(ВО:Бакалавриат)</t>
  </si>
  <si>
    <t>ДЕНЬГИ, КРЕДИТ, БАНКИ</t>
  </si>
  <si>
    <t>Звонова Е. А., Богачева М. Ю., Болвачев А. И.</t>
  </si>
  <si>
    <t>978-5-16-005114-7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</si>
  <si>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"Экономика", профиль "Банковское дело"</t>
  </si>
  <si>
    <t>467950.06.01</t>
  </si>
  <si>
    <t>Деньги, кредит, банки: Уч. пос. / Н.А.Агеева-М.:ИЦ РИОР, НИЦ ИНФРА-М,2023.-155 с..-(ВО: Бакалавриат)(П)</t>
  </si>
  <si>
    <t>Агеева Н. А.</t>
  </si>
  <si>
    <t>978-5-369-01348-9</t>
  </si>
  <si>
    <t>38.03.01, 38.03.05, 38.03.06, 38.03.07, 38.03.02, 38.03.04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</si>
  <si>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«Финансы и кредит»</t>
  </si>
  <si>
    <t>256200.08.01</t>
  </si>
  <si>
    <t>Деньги, кредит, банки: Уч. пос./ Б.Х. Алиев - М.: Вуз. уч., ИНФРА-М, 2023. - 288 с. (п)</t>
  </si>
  <si>
    <t>Алиев Б. Х., Идрисова С. К., Рабаданова Д. А.</t>
  </si>
  <si>
    <t>978-5-9558-0356-2</t>
  </si>
  <si>
    <t>38.02.07, 38.02.01, 38.02.03, 38.04.08, 38.03.01, 44.03.05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</si>
  <si>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(080100) «Экономика» (уровень бакалавриата)</t>
  </si>
  <si>
    <t>051050.09.01</t>
  </si>
  <si>
    <t>Деньги, кредит, банки: Уч.пос. / М.А.Варламова и др.-М.:ИЦ РИОР,2016.-128 с.(Карманное уч. пос.)(О)</t>
  </si>
  <si>
    <t>Варламова М.А., Варламова Т.П., Ермасова Н.Б.</t>
  </si>
  <si>
    <t>Карманное учебное пособие</t>
  </si>
  <si>
    <t>978-5-9557-0237-7</t>
  </si>
  <si>
    <t>0104</t>
  </si>
  <si>
    <t>116200.11.01</t>
  </si>
  <si>
    <t>Деньги, кредит, банки: Уч.пос. / С.А.Чернецов-М.:Магистр, НИЦ ИНФРА-М,2023.-496 с.(П)</t>
  </si>
  <si>
    <t>Чернецов С. А.</t>
  </si>
  <si>
    <t>978-5-9776-0108-5</t>
  </si>
  <si>
    <t>38.02.07, 38.02.01, 38.02.03, 38.04.09, 38.04.01, 38.04.08, 38.04.02, 38.04.04, 38.04.05, 38.03.01, 38.03.05, 38.03.02, 38.03.04, 44.03.01, 44.03.05, 41.03.06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</si>
  <si>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специальностям "Финансы и кредит",  "Бухгалтерский учет, анализ и аудит"</t>
  </si>
  <si>
    <t>078460.08.01</t>
  </si>
  <si>
    <t>Деньги, кредит, банки: Шпаргалка-М.:ИЦ РИОР, НИЦ ИНФРА-М, 2020.-94 с..-(Шпаргалка [отрывная]) (О)</t>
  </si>
  <si>
    <t>978-5-369-00063-2</t>
  </si>
  <si>
    <t>654779.01.01</t>
  </si>
  <si>
    <t>Деньги. Кредит. Банки: Уч. / Б.И.Соколов-М.:НИЦ ИНФРА-М,2023.-323 с.(ВО)(п)</t>
  </si>
  <si>
    <t>ДЕНЬГИ. КРЕДИТ. БАНКИ</t>
  </si>
  <si>
    <t>Соколов Б.И., Соколова С.В.</t>
  </si>
  <si>
    <t>978-5-16-015232-5</t>
  </si>
  <si>
    <t>41.03.05, 38.04.08, 38.05.01, 38.03.01, 38.03.06</t>
  </si>
  <si>
    <t>212600.06.01</t>
  </si>
  <si>
    <t>Диагностика финансово-экономич. сост. орг.: Уч. пос. / Е.В.Бережная - ИНФРА-М, 2022-304с.(ВО) (п)</t>
  </si>
  <si>
    <t>ДИАГНОСТИКА ФИНАНСОВО-ЭКОНОМИЧЕСКОГО СОСТОЯНИЯ ОРГАНИЗАЦИИ</t>
  </si>
  <si>
    <t>Бережная Е. В., Бережная О. В., Косьмина О. И.</t>
  </si>
  <si>
    <t>978-5-16-006868-8</t>
  </si>
  <si>
    <t>38.03.01, 38.03.02, 41.03.06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</si>
  <si>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080200.62 «Менеджмент» (квалификация (степень) «бакалавр»)</t>
  </si>
  <si>
    <t>777502.01.01</t>
  </si>
  <si>
    <t>Дискуссии вокруг процента. Есть ли альтернатива?: :моногр. / М.Г.Мингатин-М.:НИЦ ИНФРА-М,2023.-181 с.(О)</t>
  </si>
  <si>
    <t>ДИСКУССИИ ВОКРУГ ПРОЦЕНТА. ЕСТЬ ЛИ АЛЬТЕРНАТИВА?</t>
  </si>
  <si>
    <t>Мингатин М.Г.</t>
  </si>
  <si>
    <t>978-5-16-017854-7</t>
  </si>
  <si>
    <t>38.04.01, 38.04.08, 38.04.04, 38.06.01</t>
  </si>
  <si>
    <t>Российский исламский институт</t>
  </si>
  <si>
    <t>467150.06.01</t>
  </si>
  <si>
    <t>Доверительное управ. финанс. активами: Уч. пос. / Н.М.Ребельский-М.:Вуз. уч., НИЦ ИНФРА-М,2022.-224 с.(П)</t>
  </si>
  <si>
    <t>ДОВЕРИТЕЛЬНОЕ УПРАВЛЕНИЕ ФИНАНСОВЫМИ АКТИВАМИ</t>
  </si>
  <si>
    <t>Ребельский Н.М.</t>
  </si>
  <si>
    <t>978-5-9558-0369-2</t>
  </si>
  <si>
    <t>38.04.01, 38.04.08, 38.03.01, 38.03.02</t>
  </si>
  <si>
    <t>466600.02.01</t>
  </si>
  <si>
    <t>Договор оказания аудиторских услуг...: Монография / Л.Ю.Малинина-М.:НИЦ ИНФРА-М,2020.-103с(О)</t>
  </si>
  <si>
    <t>ДОГОВОР ОКАЗАНИЯ АУДИТОРСКИХ УСЛУГ: ГРАЖДАНСКО-ПРАВОВЫЕ И ЭКОНОМИЧЕСКИЕ АСПЕКТЫ</t>
  </si>
  <si>
    <t>Малинина Л.Ю.</t>
  </si>
  <si>
    <t>978-5-16-012219-9</t>
  </si>
  <si>
    <t>362700.07.01</t>
  </si>
  <si>
    <t>Договоры коммерческой деятельности: Практ. пос. / А.М.Петров - М.:КУРС, НИЦ ИНФРА-М,2023. - 396 с.</t>
  </si>
  <si>
    <t>ДОГОВОРЫ КОММЕРЧЕСКОЙ ДЕЯТЕЛЬНОСТИ</t>
  </si>
  <si>
    <t>Петров А.М.</t>
  </si>
  <si>
    <t>КУРС</t>
  </si>
  <si>
    <t>Практикум</t>
  </si>
  <si>
    <t>978-5-905554-97-1</t>
  </si>
  <si>
    <t>38.02.04, 38.02.07, 38.02.01, 38.02.03, 38.04.01, 38.04.08, 38.04.02, 38.06.01, 38.03.01, 38.03.02, 44.03.01, 44.03.05</t>
  </si>
  <si>
    <t>764165.01.01</t>
  </si>
  <si>
    <t>Доктрина финанс.-правового статуса муниципал. образ. в РФ и его реализация / Покачалова Е.В.-М.:НИЦ ИНФРА-М,2022-480с(П)</t>
  </si>
  <si>
    <t>ДОКТРИНА ФИНАНСОВО-ПРАВОВОГО СТАТУСА МУНИЦИПАЛЬНЫХ ОБРАЗОВАНИЙ В РОССИЙСКОЙ ФЕДЕРАЦИИ И ЕГО РЕАЛИЗАЦИЯ</t>
  </si>
  <si>
    <t>Миронова С.М., Покачалова Е.В.</t>
  </si>
  <si>
    <t>978-5-16-017197-5</t>
  </si>
  <si>
    <t>40.04.01, 38.04.04, 38.06.01, 40.06.01</t>
  </si>
  <si>
    <t>Российская академия народного хозяйства и государственной службы при Президенте РФ, ф-л Волгоградский институт управления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</si>
  <si>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</si>
  <si>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</si>
  <si>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</si>
  <si>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</si>
  <si>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</si>
  <si>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290300.07.01</t>
  </si>
  <si>
    <t>Долгосрочная финанс. политика орг.: Уч.пос. / Е.Н.Карпова - 2 изд. - М.:НИЦ ИНФРА-М,2022-193 с.(ВО)(П)</t>
  </si>
  <si>
    <t>ДОЛГОСРОЧНАЯ ФИНАНСОВАЯ ПОЛИТИКА ОРГАНИЗАЦИИ, ИЗД.2</t>
  </si>
  <si>
    <t>Карпова Е.Н., Кочановская О.М., Усенко А.М. и др.</t>
  </si>
  <si>
    <t>978-5-16-014376-7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</si>
  <si>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«бакалавр»). Регистрационный номер рецензии 128 от 18.04.2014 (ФГАУ ФИРО)</t>
  </si>
  <si>
    <t>Южный федеральный университет</t>
  </si>
  <si>
    <t>290300.05.01</t>
  </si>
  <si>
    <t>Долгосрочная финанс. политика организации: Уч.пос. / Е.Н.Карпова - М.:Альфа-М, НИЦ ИНФРА-М,2019-208с</t>
  </si>
  <si>
    <t>ДОЛГОСРОЧНАЯ ФИНАНСОВАЯ ПОЛИТИКА ОРГАНИЗАЦИИ</t>
  </si>
  <si>
    <t>Карпова Е. Н., Кочановская О. М., Усенко А. М., Коновалов А. А.</t>
  </si>
  <si>
    <t>Альфа-М</t>
  </si>
  <si>
    <t>978-5-98281-404-3</t>
  </si>
  <si>
    <t>765374.03.01</t>
  </si>
  <si>
    <t>Избранное: Сб. научных трудов / Г.Ф.Ручкина-М.:НИЦ ИНФРА-М,2023.-491 с.(Науч.мысль - Фин. университет)(П)</t>
  </si>
  <si>
    <t>ИЗБРАННОЕ</t>
  </si>
  <si>
    <t>Ручкина Г.Ф.</t>
  </si>
  <si>
    <t>Научная мысль - Финансовый университет</t>
  </si>
  <si>
    <t>978-5-16-017222-4</t>
  </si>
  <si>
    <t>Сборник научных трудов</t>
  </si>
  <si>
    <t>40.04.01, 40.06.01</t>
  </si>
  <si>
    <t>642204.05.01</t>
  </si>
  <si>
    <t>Инвестирование инновац. деят. наукоемких..: Моногр. / Д.А.Плотников - М.:НИЦ ИНФРА-М,2023-289с.(П)</t>
  </si>
  <si>
    <t>ИНВЕСТИРОВАНИЕ ИННОВАЦИОННОЙ ДЕЯТЕЛЬНОСТИ НАУКОЕМКИХ ВЫСОКОТЕХНОЛОГИЧНЫХ ПРЕДПРИЯТИЙ</t>
  </si>
  <si>
    <t>Плотников Д.А., Плотников А.Н.</t>
  </si>
  <si>
    <t>978-5-16-012429-2</t>
  </si>
  <si>
    <t>27.03.05, 27.04.07, 51.04.02, 22.04.02, 23.04.03, 27.04.05, 38.03.01</t>
  </si>
  <si>
    <t>Саратовский государственный технический университет им. Гагарина Ю.А.</t>
  </si>
  <si>
    <t>081150.12.01</t>
  </si>
  <si>
    <t>Инвестиции: матем. методы: Уч. пос./В.Ю.Попов, 2-е изд.-М.:Форум, ИНФРА-М Изд. Дом,2024.-144 с.(О)</t>
  </si>
  <si>
    <t>ИНВЕСТИЦИИ: МАТЕМАТИЧЕСКИЕ МЕТОДЫ, ИЗД.2</t>
  </si>
  <si>
    <t>Попов В. Ю., Шаповал А. Б.</t>
  </si>
  <si>
    <t>978-5-91134-224-1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</si>
  <si>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060400 "Финансы и кредит"</t>
  </si>
  <si>
    <t>0208</t>
  </si>
  <si>
    <t>134900.14.01</t>
  </si>
  <si>
    <t>Инвестиции: Уч. / И.Я.Лукасевич - М.:Вуз. уч., НИЦ ИНФРА-М,2024 - 413 с.(П)</t>
  </si>
  <si>
    <t>ИНВЕСТИЦИИ</t>
  </si>
  <si>
    <t>Лукасевич И. Я.</t>
  </si>
  <si>
    <t>978-5-9558-0129-2</t>
  </si>
  <si>
    <t>Рекомендовано в качестве учебника для студентов высших учебных заведений, обучающихся по направлению подготовки «Экономика» и специальностям «Финансы и кредит» и «Бухгалтерский учет, анализ и аудит»</t>
  </si>
  <si>
    <t>097400.10.01</t>
  </si>
  <si>
    <t>Инвестиции: Уч. / Л.Л. Игонина. - 2 изд. - М.: Магистр:  НИЦ Инфра-М, 2021. - 752с. (п)</t>
  </si>
  <si>
    <t>ИНВЕСТИЦИИ, ИЗД.2</t>
  </si>
  <si>
    <t>Игонина Л. Л.</t>
  </si>
  <si>
    <t>978-5-9776-0071-2</t>
  </si>
  <si>
    <t>38.04.09, 38.04.07, 38.04.01, 38.04.08, 38.04.06, 38.04.02, 38.04.03, 38.04.04, 38.04.05, 38.05.01, 38.05.02, 38.03.01, 38.03.05, 38.03.06, 38.03.07, 38.03.02, 38.03.04, 38.03.03, 44.03.01</t>
  </si>
  <si>
    <t>Финансовый университет при Правительстве Российской Федерации, Краснодарский ф-л</t>
  </si>
  <si>
    <t>727870.03.01</t>
  </si>
  <si>
    <t>Инвестиции: Уч. / М.И.Ермилова и др. - М.:НИЦ ИНФРА-М,2021 - 287 с.-(ВО: Бакалавриат)(П)</t>
  </si>
  <si>
    <t>Ермилова М.И., Алтухова Е.В., Грызунова Н.В. и др.</t>
  </si>
  <si>
    <t>978-5-16-016047-4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</si>
  <si>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38.03.01 «Экономика», 38.03.02 «Менеджмент», 38.03.04 «Государственное и муниципальное управление» (квалификация (степень) «бакалавр») (протокол № 10 от 12.10.2020)</t>
  </si>
  <si>
    <t>003643.21.01</t>
  </si>
  <si>
    <t>Инвестиции: Уч. / У.Ф.Шарп и др. - М.:НИЦ ИНФРА-М,2022 - 1028 с.(Универ. учебник. Бакалавриат)(П)</t>
  </si>
  <si>
    <t>Шарп У.Ф., Александер Г.Д., Бэйли Д.В.</t>
  </si>
  <si>
    <t>Университетский учебник. Бакалавриат</t>
  </si>
  <si>
    <t>978-5-16-016789-3</t>
  </si>
  <si>
    <t>Рекомендовано Министерством общего и профессионального образования Российской Федерации для использования в учебном процессе студентами высших учебных заведений, обучающимися по экономическим специальностям</t>
  </si>
  <si>
    <t>0197</t>
  </si>
  <si>
    <t>768231.01.01</t>
  </si>
  <si>
    <t>Инвестиции: Уч. пос. / Т.Г.Бондаренко-М.:НИЦ ИНФРА-М,2024.-157 с.(ВО (РЭУ))(п)</t>
  </si>
  <si>
    <t>Бондаренко Т.Г., Проданова Н.А.</t>
  </si>
  <si>
    <t>978-5-16-017420-4</t>
  </si>
  <si>
    <t>00.03.13, 38.03.02</t>
  </si>
  <si>
    <t>Август, 2023</t>
  </si>
  <si>
    <t>082620.04.01</t>
  </si>
  <si>
    <t>Инвестиции: Шпаргалка. - М.: ИЦ РИОР. - 34 с.(Шпаргалка [разрезная]) (о) ISBN:978-5-369-00165-3</t>
  </si>
  <si>
    <t>Шпаргалка [разрезная]</t>
  </si>
  <si>
    <t>978-5-369-00165-3</t>
  </si>
  <si>
    <t>653845.07.01</t>
  </si>
  <si>
    <t>Инвестиционная стратегия региона: Уч.пос. / Н.Н.Новоселова-М.:НИЦ ИНФРА-М,2023.-162 с.(ВО)(О)</t>
  </si>
  <si>
    <t>ИНВЕСТИЦИОННАЯ СТРАТЕГИЯ РЕГИОНА</t>
  </si>
  <si>
    <t>Новоселова Н.Н., Хубулова В.В.</t>
  </si>
  <si>
    <t>978-5-16-017269-9</t>
  </si>
  <si>
    <t>Рекомендовано в качестве учебного пособия для студентов высших учебных заведений, обучающихся по направлениям подготовки 38.04.01 «Экономика», 38.04.04 «Государственное и муниципальное управление» (квалификация (степень) «магистр»)</t>
  </si>
  <si>
    <t>Северо-Кавказский институт искусств</t>
  </si>
  <si>
    <t>431550.07.01</t>
  </si>
  <si>
    <t>Инвестиционное проектирование: Уч. пос./А.П.Гарнов - М.: НИЦ ИНФРА-М, 2024-254с.(ВО)(п)</t>
  </si>
  <si>
    <t>ИНВЕСТИЦИОННОЕ ПРОЕКТИРОВАНИЕ</t>
  </si>
  <si>
    <t>Гарнов А.П., Краснобаева О.В.</t>
  </si>
  <si>
    <t>978-5-16-019304-5</t>
  </si>
  <si>
    <t>Рекомендовано Учебно-методическим объединением по образованию в области экономики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</t>
  </si>
  <si>
    <t>150300.12.01</t>
  </si>
  <si>
    <t>Инвестиционный анализ. Подготовка и оценка инвестиций в реа...: Уч. / И.В.Липсиц-М.:НИЦ ИНФРА-М,2024.-320 с.(ВО)(п)</t>
  </si>
  <si>
    <t>ИНВЕСТИЦИОННЫЙ АНАЛИЗ. ПОДГОТОВКА И ОЦЕНКА ИНВЕСТИЦИЙ В РЕАЛЬНЫЕ АКТИВЫ</t>
  </si>
  <si>
    <t>Липсиц И.В., Коссов В.В.</t>
  </si>
  <si>
    <t>978-5-16-018930-7</t>
  </si>
  <si>
    <t>Рекомендовано УМО по образованию в области экономики, менеджмента, логистики и бизнес-информатики в качестве учебного пособия для студентов высших учебных заведений, обучающихся по направлениям 38.03.01 «Экономика», 38.03.02 «Менеджмент»</t>
  </si>
  <si>
    <t>Национальный исследовательский университет "Высшая школа экономики"</t>
  </si>
  <si>
    <t>655234.04.01</t>
  </si>
  <si>
    <t>Инвестиционный анализ: Уч. / В.М.Серов и др. - М.:НИЦ ИНФРА-М,2023 - 248 с.-(ВО: Бакалавриат)(П)</t>
  </si>
  <si>
    <t>ИНВЕСТИЦИОННЫЙ АНАЛИЗ</t>
  </si>
  <si>
    <t>Серов В.М., Богомолова Е.А., Моисеенко Н.А. и др.</t>
  </si>
  <si>
    <t>978-5-16-013104-7</t>
  </si>
  <si>
    <t>Государственный университет управления</t>
  </si>
  <si>
    <t>260900.06.01</t>
  </si>
  <si>
    <t>Инвестиционный анализ: Уч. пос./Я.С.Мелкумов - 3 изд. - М.: ИНФРА-М, 2023 - 176 с. (ВО: Бакалавриат) (о)</t>
  </si>
  <si>
    <t>ИНВЕСТИЦИОННЫЙ АНАЛИЗ, ИЗД.3</t>
  </si>
  <si>
    <t>Мелкумов Я. С.</t>
  </si>
  <si>
    <t>978-5-16-009514-1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</si>
  <si>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38.03.02.62 "Менеджмент» (квалификация (степень) «ба</t>
  </si>
  <si>
    <t>102500.14.01</t>
  </si>
  <si>
    <t>Инвестиционный анализ: Уч.пос. / Т.С.Колмыкова, - 2-е изд.-М.:НИЦ ИНФРА-М,2023.-208 с.(ВО)(п)</t>
  </si>
  <si>
    <t>ИНВЕСТИЦИОННЫЙ АНАЛИЗ, ИЗД.2</t>
  </si>
  <si>
    <t>Колмыкова Т. С.</t>
  </si>
  <si>
    <t>978-5-16-018660-3</t>
  </si>
  <si>
    <t>38.04.01, 38.04.08, 38.04.04, 38.04.05, 38.03.01, 38.03.05, 38.03.02, 38.03.04, 41.03.06</t>
  </si>
  <si>
    <t>Юго-Западный государственный университет</t>
  </si>
  <si>
    <t>167550.05.01</t>
  </si>
  <si>
    <t>Инвестиционный климат и межд....: Моногр. / Алексеев В.Н. - М.:НИЦ ИНФРА-М,2018-126с.(Науч.мысль)(О)</t>
  </si>
  <si>
    <t>ИНВЕСТИЦИОННЫЙ КЛИМАТ И МЕЖДУНАРОДНЫЙ ФИНАНСОВЫЙ ЦЕНТР В МОСКВЕ: ТЕНДЕНЦИИ И ПЕРСПЕКТИВЫ</t>
  </si>
  <si>
    <t>Алексеев В.Н., Ильин В.В.</t>
  </si>
  <si>
    <t>978-5-16-005189-5</t>
  </si>
  <si>
    <t>Московский городской университет управления Правительства Москвы</t>
  </si>
  <si>
    <t>214500.09.01</t>
  </si>
  <si>
    <t>Инвестиционный менеджмент: Уч. / П.Н.Брусов - М.:НИЦ ИНФРА-М,2023 - 333с.(ВО:Бакалавр.)(п)</t>
  </si>
  <si>
    <t>ИНВЕСТИЦИОННЫЙ МЕНЕДЖМЕНТ</t>
  </si>
  <si>
    <t>Брусов П. Н., Филатова Т. В., Лахметкина Н. И.</t>
  </si>
  <si>
    <t>978-5-16-005020-1</t>
  </si>
  <si>
    <t>38.03.01, 38.03.02, 38.03.04, 38.03.03, 41.03.06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</si>
  <si>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38.03.02 «Менеджмент» (квалификация (степень) - «бакалавр»)</t>
  </si>
  <si>
    <t>374800.07.01</t>
  </si>
  <si>
    <t>Инвестиционный менеджмент: Уч. /С.Е.Метелев.-М.:Форум, НИЦ ИНФРА-М,2024.-288 с.(ВО:Бакалавр.)(О)</t>
  </si>
  <si>
    <t>С.Е.Метелев, В.П.Чижик, С.Е.Елкин</t>
  </si>
  <si>
    <t>978-5-00091-092-4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</si>
  <si>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подготовки 080100 «Экономика» (квалификация (степень) «бакалавр»)</t>
  </si>
  <si>
    <t>Омский государственный университет им. Ф.М. Достоевского</t>
  </si>
  <si>
    <t>765456.01.01</t>
  </si>
  <si>
    <t>Инициативное бюджетирование: эволюция теор. и прак.: Моногр. / В.В.Вагин-М.:НИЦ ИНФРА-М,2022-270 с.(О)</t>
  </si>
  <si>
    <t>ИНИЦИАТИВНОЕ БЮДЖЕТИРОВАНИЕ: ЭВОЛЮЦИЯ ТЕОРИИ И ПРАКТИКИ</t>
  </si>
  <si>
    <t>Вагин В.В., Шугрина Е.С., Пинская М.Р. и др.</t>
  </si>
  <si>
    <t>978-5-16-017247-7</t>
  </si>
  <si>
    <t>56.04.10, 40.04.01, 38.04.01, 38.04.08, 38.04.04, 38.06.01</t>
  </si>
  <si>
    <t>Научно-исследовательский финансовый институт Минфина России</t>
  </si>
  <si>
    <t>667387.03.01</t>
  </si>
  <si>
    <t>Институты в качестве факторов..: Моногр. / А.А.Медведь - М.:НИЦ ИНФРА-М,2023 - 114 с.(Науч.мысль)(О)</t>
  </si>
  <si>
    <t>ИНСТИТУТЫ В КАЧЕСТВЕ ФАКТОРОВ ИНВЕСТИЦИОННОГО ПРОЦЕССА В ЭКОНОМИКЕ РФ</t>
  </si>
  <si>
    <t>Медведь А.А.</t>
  </si>
  <si>
    <t>978-5-16-013460-4</t>
  </si>
  <si>
    <t>681271.07.01</t>
  </si>
  <si>
    <t>Институты финансовой безопасности: Монография / И.И.Кучеров - М.:НИЦ ИНФРА-М, 2022-246с (ИЗиСП)(П)</t>
  </si>
  <si>
    <t>ИНСТИТУТЫ ФИНАНСОВОЙ БЕЗОПАСНОСТИ</t>
  </si>
  <si>
    <t>Кучеров И.И., Поветкина Н.А., Акопян О.А. и др.</t>
  </si>
  <si>
    <t>ИЗиСП</t>
  </si>
  <si>
    <t>978-5-16-013740-7</t>
  </si>
  <si>
    <t>40.03.01, 40.04.01, 38.04.01, 38.04.08, 40.05.01, 38.05.01, 38.03.01</t>
  </si>
  <si>
    <t>321400.06.01</t>
  </si>
  <si>
    <t>Институциональные основы теории финансов.: Моногр. / Р.М.Нижегородцев - М.:НИЦ ИНФРА-М,2023 - 220 с.(о)</t>
  </si>
  <si>
    <t>ИНСТИТУЦИОНАЛЬНЫЕ ОСНОВЫ ТЕОРИИ ФИНАНСОВ: СОВРЕМЕННЫЕ ПОДХОДЫ</t>
  </si>
  <si>
    <t>Нижегородцев Р.М., Горидько Н.П., Шкодина И.В.</t>
  </si>
  <si>
    <t>978-5-16-010455-3</t>
  </si>
  <si>
    <t>Институт проблем управления им. В.А. Трапезникова Российской академии наук</t>
  </si>
  <si>
    <t>681923.04.01</t>
  </si>
  <si>
    <t>Интегрированный учет в сис. управ. предпр.: Моногр. / В.Б.Ивашкевич-М.:Магистр, НИЦ ИНФРА-М,2023.-124с(О)</t>
  </si>
  <si>
    <t>ИНТЕГРИРОВАННЫЙ УЧЕТ В СИСТЕМЕ УПРАВЛЕНИЯ ПРЕДПРИЯТИЕМ</t>
  </si>
  <si>
    <t>978-5-9776-0476-5</t>
  </si>
  <si>
    <t>38.04.09, 38.04.07, 38.04.01, 38.04.08, 38.04.06, 38.04.02, 38.04.03, 38.05.01, 38.05.02, 38.03.01, 38.03.06, 38.03.07, 38.03.02</t>
  </si>
  <si>
    <t>160300.11.01</t>
  </si>
  <si>
    <t>Инфляционные процессы и денеж.-кредит.регулир..: Уч.пос. / М.Ю.Малкина - М.:НИЦ ИНФРА-М,2024-310с(ВО)(п)</t>
  </si>
  <si>
    <t>ИНФЛЯЦИОННЫЕ ПРОЦЕССЫ И ДЕНЕЖНО-КРЕДИТНОЕ РЕГУЛИРОВАНИЕ В РОССИИ И ЗА РУБЕЖОМ</t>
  </si>
  <si>
    <t>Малкина М. Ю.</t>
  </si>
  <si>
    <t>978-5-16-011568-9</t>
  </si>
  <si>
    <t>38.03.01, 44.03.05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</si>
  <si>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15 от 14.10.2019)</t>
  </si>
  <si>
    <t>733158.01.01</t>
  </si>
  <si>
    <t>Информационно-коммуникац. концепция теории бух. уч. / М.Д.Акатьева - М.:НИЦ ИНФРА-М,2020-162 с.(О)</t>
  </si>
  <si>
    <t>ИНФОРМАЦИОННО-КОММУНИКАЦИОННАЯ КОНЦЕПЦИЯ ТЕОРИИ БУХГАЛТЕРСКОГО УЧЕТА</t>
  </si>
  <si>
    <t>978-5-16-016080-1</t>
  </si>
  <si>
    <t>38.04.01, 38.04.08, 38.06.01</t>
  </si>
  <si>
    <t>430350.08.01</t>
  </si>
  <si>
    <t>Информационные технол. в бирж. торг..:Уч.пос./ Н.С.Рожнова - М.:НИЦ ИНФРА-М,2023-100с.(ВО)(О)</t>
  </si>
  <si>
    <t>ИНФОРМАЦИОННЫЕ ТЕХНОЛОГИИ В БИРЖЕВОЙ ТОРГОВЛЕ (БИРЖЕВОЙ ТРЕНАЖЕР)</t>
  </si>
  <si>
    <t>Рожнова Н. С.</t>
  </si>
  <si>
    <t>978-5-16-006651-6</t>
  </si>
  <si>
    <t>38.04.08, 38.04.05, 38.03.01, 38.03.05</t>
  </si>
  <si>
    <t>442150.07.01</t>
  </si>
  <si>
    <t>Ипотечное кредитование жилищного стр-ва: Уч. пос./С.А.Баронин - М.: НИЦ ИНФРА-М, 2023-189с.(ВО) (П)</t>
  </si>
  <si>
    <t>ИПОТЕЧНОЕ КРЕДИТОВАНИЕ ЖИЛИЩНОГО СТРОИТЕЛЬСТВА</t>
  </si>
  <si>
    <t>Баронин С. А., Бочкарев В. В., Николаева Е. Л., Баронин С. А., Казейкин В. С.</t>
  </si>
  <si>
    <t>978-5-16-006823-7</t>
  </si>
  <si>
    <t>08.03.01, 38.04.01, 38.04.08, 38.03.01</t>
  </si>
  <si>
    <t>Рекомендовано в качестве учебного пособия для студентов высших учебных заведений, обучающихся по направлению 270800 «Строительство» (профиль "Экспертиза и управление недвижимостью»)</t>
  </si>
  <si>
    <t>404250.06.01</t>
  </si>
  <si>
    <t>Ипотечно-инвестиционный анализ: Уч.пос. / С.А.Баронин.-М.:НИЦ ИНФРА-М,2023.-176 с.(ВО: Бакалавр.)(п)</t>
  </si>
  <si>
    <t>ИПОТЕЧНО-ИНВЕСТИЦИОННЫЙ АНАЛИЗ</t>
  </si>
  <si>
    <t>Баронин С.А., Бочкарев В.В., Казейкин В.С. и др.</t>
  </si>
  <si>
    <t>978-5-16-006283-9</t>
  </si>
  <si>
    <t>07.03.04, 08.03.01, 38.04.01, 38.04.08, 08.04.01, 38.03.01, 38.03.02, 41.03.06</t>
  </si>
  <si>
    <t>Рекомендовано Учебно-методическим объединением вузов РФ по образованию в области строительства в качестве учебного пособия для студентов, обучающихся по специальности 270115 «Экспертиза и управление недвижимостью», направления 270100 «Строительство»</t>
  </si>
  <si>
    <t>742679.02.01</t>
  </si>
  <si>
    <t>Исламские финансы в странах СНГ: Моногр. / А.З.Нагимова-М.:НИЦ ИНФРА-М,2022.-219 с.(Науч.мысль)(О)</t>
  </si>
  <si>
    <t>ИСЛАМСКИЕ ФИНАНСЫ В СТРАНАХ СНГ</t>
  </si>
  <si>
    <t>Нагимова А.З.</t>
  </si>
  <si>
    <t>978-5-16-016564-6</t>
  </si>
  <si>
    <t>38.04.01, 38.04.08, 38.05.01, 38.06.01, 38.03.01, 38.03.02, 41.03.06</t>
  </si>
  <si>
    <t>Уфимский государственный нефтяной технический университет</t>
  </si>
  <si>
    <t>765952.02.01</t>
  </si>
  <si>
    <t>Исламские финансы в странах СНГ: Моногр./ А.З.Нагимова - М.:НИЦ ИНФРА-М,2023 - 221 с.(Науч.мысль)(О)</t>
  </si>
  <si>
    <t>ИСЛАМСКИЕ ФИНАНСЫ В СТРАНАХ СНГ: ПРОШЛОЕ И БУДУЩЕЕ</t>
  </si>
  <si>
    <t>978-5-16-017240-8</t>
  </si>
  <si>
    <t>41.03.05, 38.04.08</t>
  </si>
  <si>
    <t>206800.08.01</t>
  </si>
  <si>
    <t>История бухгалтерского учета: Уч.пос. / Ю.И.Сигидов - М.:НИЦ ИНФРА-М,2021 - 161 с.(ВО: Бакалавриат)(П)</t>
  </si>
  <si>
    <t>ИСТОРИЯ БУХГАЛТЕРСКОГО УЧЕТА</t>
  </si>
  <si>
    <t>Сигидов Ю. И., Рыбянцева М. С.</t>
  </si>
  <si>
    <t>978-5-16-005668-5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</si>
  <si>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38.03.01 «Экономика» и специальности/профилю «Бухгалтерский учет, анализ и аудит»</t>
  </si>
  <si>
    <t>632275.03.01</t>
  </si>
  <si>
    <t>История развития теории бух. учета: Уч.пос. / М.Д.Акатьева - М.:НИЦ ИНФРА-М,2023-170с(ВО)(П)</t>
  </si>
  <si>
    <t>ИСТОРИЯ РАЗВИТИЯ ТЕОРИИ БУХГАЛТЕРСКОГО УЧЕТА</t>
  </si>
  <si>
    <t>978-5-16-013493-2</t>
  </si>
  <si>
    <t>Рекомендовано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</t>
  </si>
  <si>
    <t>411500.05.01</t>
  </si>
  <si>
    <t>История учетной мысли: Монография /К.Ю.Цыганков -М.: Магистр, НИЦ ИНФРА-М, 2023. -544 с. (П)</t>
  </si>
  <si>
    <t>ИСТОРИЯ УЧЕТНОЙ МЫСЛИ</t>
  </si>
  <si>
    <t>Цыганков К. Ю.</t>
  </si>
  <si>
    <t>978-5-9776-0253-2</t>
  </si>
  <si>
    <t>Новосибирский национальный исследовательский государственный университет</t>
  </si>
  <si>
    <t>785107.01.01</t>
  </si>
  <si>
    <t>Источники и формы права в совр. финанс.-правовой науке/Под ред. Пешкова Х.В.-М.:НИЦ ИНФРА-М,2023-380с(п)</t>
  </si>
  <si>
    <t>ИСТОЧНИКИ И ФОРМЫ ПРАВА В СОВРЕМЕННОЙ ФИНАНСОВО-ПРАВОВОЙ НАУКЕ</t>
  </si>
  <si>
    <t>Белогорцева Х.В., Мирошник С.В., Запольский С.В. и др.</t>
  </si>
  <si>
    <t>978-5-16-017935-3</t>
  </si>
  <si>
    <t>38.04.09, 40.04.01, 40.06.01</t>
  </si>
  <si>
    <t>801693.01.01</t>
  </si>
  <si>
    <t>Казенные учреждения: бюджетный учет и отчетность: Уч. / Т.Маслова-М.:Магистр, НИЦ ИНФРА-М,2023.-648 с.(п)</t>
  </si>
  <si>
    <t>КАЗЕННЫЕ УЧРЕЖДЕНИЯ: БЮДЖЕТНЫЙ УЧЕТ И ОТЧЕТНОСТЬ</t>
  </si>
  <si>
    <t>Маслова Т., Журавлева Т.А.</t>
  </si>
  <si>
    <t>978-5-9776-0552-6</t>
  </si>
  <si>
    <t>38.04.01, 38.04.08, 38.04.04, 38.03.01, 38.03.04</t>
  </si>
  <si>
    <t>704935.02.01</t>
  </si>
  <si>
    <t>Качество аудиторских услуг: концепция, методика..: Моногр. / Н.В.Кобозева-М.:НИЦ ИНФРА-М,2023-198с(О)</t>
  </si>
  <si>
    <t>КАЧЕСТВО АУДИТОРСКИХ УСЛУГ: КОНЦЕПЦИЯ, МЕТОДИКА, ИНСТРУМЕНТЫ</t>
  </si>
  <si>
    <t>Кобозева Н.В., Дунаева В.И.</t>
  </si>
  <si>
    <t>978-5-16-015091-8</t>
  </si>
  <si>
    <t>667067.03.01</t>
  </si>
  <si>
    <t>Коммент. к практике Верх. Суда РФ по налог. спорам за 2014-2018 гг./ М.В.Юзвак - 2 изд.-М.:ИЦ РИОР, НИЦ ИНФРА-М,2020-200с(О)</t>
  </si>
  <si>
    <t>КОММЕНТАРИЙ К ПРАКТИКЕ ВЕРХОВНОГО СУДА РФ ПО НАЛОГОВЫМ СПОРАМ ЗА 2014-2018 ГГ. (С УЧЕТОМ ПРАКТИКИ 2019 ГОДА), ИЗД.2</t>
  </si>
  <si>
    <t>Юзвак М.В.</t>
  </si>
  <si>
    <t>978-5-369-01829-3</t>
  </si>
  <si>
    <t>Комментарий</t>
  </si>
  <si>
    <t>40.03.01, 40.04.01, 38.04.01, 38.04.02, 38.06.01, 40.06.01, 38.03.01, 38.03.02</t>
  </si>
  <si>
    <t>667067.01.01</t>
  </si>
  <si>
    <t>Коммент. к практике Верх.Суда РФ по налог.спорам за 2014-2016 гг. / М.В.Юзвак-М.:ИЦ РИОР,НИЦ ИНФРА-М,2018-94с(О)</t>
  </si>
  <si>
    <t>КОММЕНТАРИЙ К ПРАКТИКЕ ВЕРХОВНОГО СУДА РФ ПО НАЛОГОВЫМ СПОРАМ ЗА 2014 - 2016 Г. (С УЧЕТОМ ПРАКТИКИ 2017 ГОДА)</t>
  </si>
  <si>
    <t>978-5-369-01733-3</t>
  </si>
  <si>
    <t>729722.04.01</t>
  </si>
  <si>
    <t>Комплексный анализ и аудит интегрир. отчетности...: Моногр. / В.П.Суйц - М.:НИЦ ИНФРА-М,2023 - 184с(П)</t>
  </si>
  <si>
    <t>КОМПЛЕКСНЫЙ АНАЛИЗ И АУДИТ ИНТЕГРИРОВАННОЙ ОТЧЕТНОСТИ ПО УСТОЙЧИВОМУ РАЗВИТИЮ КОМПАНИЙ</t>
  </si>
  <si>
    <t>Суйц В.П., Хорин А.Н., Шеремет А.Д. и др.</t>
  </si>
  <si>
    <t>978-5-16-015982-9</t>
  </si>
  <si>
    <t>641517.03.01</t>
  </si>
  <si>
    <t>Комплексный риск-ориентир.аудит коммерч.орг.:Уч.пос. /В.Д.Андреев-М.:Магистр,НИЦ ИНФРА-М,2019-248(О)</t>
  </si>
  <si>
    <t>КОМПЛЕКСНЫЙ РИСК-ОРИЕНТИРОВАННЫЙ АУДИТ КОММЕРЧЕСКИХ ОРГАНИЗАЦИЙ</t>
  </si>
  <si>
    <t>Андреев В.Д.</t>
  </si>
  <si>
    <t>978-5-9776-0439-0</t>
  </si>
  <si>
    <t>214900.06.01</t>
  </si>
  <si>
    <t>Контроллинг в банке: Уч.пос. / А.М.Карминский - М.: ИД ФОРУМ:НИЦ ИНФРА-М, 2022 - 288 с.(ВО) (п)</t>
  </si>
  <si>
    <t>КОНТРОЛЛИНГ В БАНКЕ</t>
  </si>
  <si>
    <t>Фалько С.Г., Жевага А.А., Зубов С.А. и др.</t>
  </si>
  <si>
    <t>978-5-8199-0556-2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</si>
  <si>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заведении, обучающихся по направлению «Экономика» (бакалавриат и магистратура), по пр</t>
  </si>
  <si>
    <t>Московский государственный технический университет им. Н.Э. Баумана</t>
  </si>
  <si>
    <t>739817.01.01</t>
  </si>
  <si>
    <t>Контроль и аудит деят. коммерческой орг...: Уч.пос. / В.И.Осипов-М.:НИЦ ИНФРА-М,2021.-221 с.(ВО)(П)</t>
  </si>
  <si>
    <t>КОНТРОЛЬ И АУДИТ ДЕЯТЕЛЬНОСТИ КОММЕРЧЕСКОЙ ОРГАНИЗАЦИИ: ВНЕШНИЙ И ВНУТРЕННИЙ</t>
  </si>
  <si>
    <t>Осипов В.И.</t>
  </si>
  <si>
    <t>978-5-16-016399-4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</si>
  <si>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11 от 09.11.2020)</t>
  </si>
  <si>
    <t>720208.03.01</t>
  </si>
  <si>
    <t>Контроль и ревизия. Практикум: Уч.пос. / Н.Г.Гаджиев и др.-М.:НИЦ ИНФРА-М,2023.-321 с..-(ВО)(П)</t>
  </si>
  <si>
    <t>КОНТРОЛЬ И РЕВИЗИЯ. ПРАКТИКУМ</t>
  </si>
  <si>
    <t>Гаджиев Н.Г., Коноваленко С.А., Корнилович Р.А. и др.</t>
  </si>
  <si>
    <t>978-5-16-015731-3</t>
  </si>
  <si>
    <t>38.04.06, 38.04.02, 38.04.03, 38.05.01, 38.03.06, 38.03.02, 38.03.03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</si>
  <si>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10 от 12.10.2020)</t>
  </si>
  <si>
    <t>813857.01.01</t>
  </si>
  <si>
    <t>Контроль и ревизия: Уч. / Е.А.Мизиковский.-М.:Магистр, НИЦ ИНФРА-М,2024.-352 с.(п)</t>
  </si>
  <si>
    <t>КОНТРОЛЬ И РЕВИЗИЯ</t>
  </si>
  <si>
    <t>Мизиковский Е.А., Мизиковский И.Е., Игонина Е.С. и др.</t>
  </si>
  <si>
    <t>978-5-9776-0573-1</t>
  </si>
  <si>
    <t>38.04.01, 38.04.06, 38.04.02, 38.04.03, 38.05.01, 38.03.01, 38.03.06, 38.03.02, 38.03.03</t>
  </si>
  <si>
    <t>749667.02.01</t>
  </si>
  <si>
    <t>Контроль и ревизия: Уч. / Н.Г.Гаджиев и др.-М.:НИЦ ИНФРА-М,2023.-607 с.(ВО: Специалитет)(П)</t>
  </si>
  <si>
    <t>Гаджиев Н.Г., Коноваленко С.А., Киселева О.В. и др.</t>
  </si>
  <si>
    <t>978-5-16-016757-2</t>
  </si>
  <si>
    <t>38.04.06, 38.04.02, 38.05.01, 38.03.01, 38.03.06, 38.03.02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</si>
  <si>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специальности 38.05.01 «Экономическая безопасность» (квалификация «экономист») (протокол № 6 от 08.06.2022)</t>
  </si>
  <si>
    <t>704969.02.01</t>
  </si>
  <si>
    <t>Концептуальные теоретико-методологич. аспекты бух. учета / М.Д.Акатьева-М.:НИЦ ИНФРА-М,2023.-172с(О)</t>
  </si>
  <si>
    <t>КОНЦЕПТУАЛЬНЫЕ ТЕОРЕТИКО-МЕТОДОЛОГИЧЕСКИЕ АСПЕКТЫ БУХГАЛТЕРСКОГО УЧЕТА</t>
  </si>
  <si>
    <t>978-5-16-015072-7</t>
  </si>
  <si>
    <t>700865.02.01</t>
  </si>
  <si>
    <t>Концепции теории бухгалтерского учета: Уч.пос. / Плотников В.С.-М.:НИЦ ИНФРА-М,2023.-384 с.(ВО)(П)</t>
  </si>
  <si>
    <t>КОНЦЕПЦИИ ТЕОРИИ БУХГАЛТЕРСКОГО УЧЕТА</t>
  </si>
  <si>
    <t>Плотников В.С., Плотникова О.В., Плотников В.С.</t>
  </si>
  <si>
    <t>978-5-16-014881-6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</si>
  <si>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38.04.00 «Экономика и управление» (квалификация (степень) «магистр») (протокол № 3 от 17.02.2020)</t>
  </si>
  <si>
    <t>Новосибирский государственный университет экономики и управления</t>
  </si>
  <si>
    <t>177300.08.01</t>
  </si>
  <si>
    <t>Корпоративные финанс. решения. Эмпирич..: Моногр. / И.В.Ивашковская - М.:НИЦ Инфра-М, 2022-281с (п)</t>
  </si>
  <si>
    <t>КОРПОРАТИВНЫЕ ФИНАНСОВЫЕ РЕШЕНИЯ. ЭМПИРИЧЕСКИЙ АНАЛИЗ РОССИЙСКИХ КОМПАНИЙ (КОРПОРАТИВНЫЕ ФИНАНСОВЫЕ РЕШЕНИЯ НА РАЗВИВАЮЩИХСЯ РЫНКАХ КАПИТАЛА)</t>
  </si>
  <si>
    <t>Ивашковская И. В., Кокорева М. С., Степанова А. Н., Григорьева С. А., Ивашковская И. В.</t>
  </si>
  <si>
    <t>978-5-16-005068-3</t>
  </si>
  <si>
    <t>38.04.01, 38.04.08, 38.04.02, 38.06.01, 38.03.01, 38.03.02, 44.03.05</t>
  </si>
  <si>
    <t>668860.05.01</t>
  </si>
  <si>
    <t>Корпоративные финансы: стоимост. оценка: Уч.пос. / С.Ю.Богатырев - 2 изд. - М.:ИЦ РИОР, НИЦ ИНФРА-М,2024.-164 с.(О)</t>
  </si>
  <si>
    <t>КОРПОРАТИВНЫЕ ФИНАНСЫ: СТОИМОСТНАЯ ОЦЕНКА, ИЗД.2</t>
  </si>
  <si>
    <t>Богатырев С.Ю.</t>
  </si>
  <si>
    <t>978-5-369-01749-4</t>
  </si>
  <si>
    <t>38.04.02, 38.03.01, 38.03.02, 44.03.05</t>
  </si>
  <si>
    <t>668860.02.01</t>
  </si>
  <si>
    <t>Корпоративные финансы: стоимост. оценка: Уч.пос. / С.Ю.Богатырев-М.:ИЦ РИОР,НИЦ ИНФРА-М,2018-164с(О)</t>
  </si>
  <si>
    <t>КОРПОРАТИВНЫЕ ФИНАНСЫ: СТОИМОСТНАЯ ОЦЕНКА</t>
  </si>
  <si>
    <t>222900.07.01</t>
  </si>
  <si>
    <t>Корпоративные финансы: Уч. / А.И.Самылин - М.:НИЦ ИНФРА-М,2022.-472 с..-(ВО: Бакалавриат)</t>
  </si>
  <si>
    <t>КОРПОРАТИВНЫЕ ФИНАНСЫ</t>
  </si>
  <si>
    <t>Самылин А. И.</t>
  </si>
  <si>
    <t>978-5-16-008995-9</t>
  </si>
  <si>
    <t>38.04.01, 38.04.02, 38.03.01, 38.03.02, 44.03.05, 41.03.06</t>
  </si>
  <si>
    <t>Допущено Министерством образования и науки Российской Федерации в качестве учебника для студентов высших учебных заведений, обучающихся по направлениям: 080100.62 «Экономика» и 080200.62 «Менеджмент» (программы подготовки бакалавров), по направлениям</t>
  </si>
  <si>
    <t>682540.06.01</t>
  </si>
  <si>
    <t>Корпоративные финансы: Уч. / И.В.Балынин - М.:НИЦ ИНФРА-М,2024 - 399 с.(ВО)(П)</t>
  </si>
  <si>
    <t>Балынин И.В., Власова Н.В., Губернаторов А.М. и др.</t>
  </si>
  <si>
    <t>978-5-16-014961-5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</si>
  <si>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17 от 11.11.2019)</t>
  </si>
  <si>
    <t>445300.03.01</t>
  </si>
  <si>
    <t>Корпоративные финансы: Уч.пос. / А.С.Кокин - М.:ИЦ РИОР,НИЦ ИНФРА-М,2020 - 369с.(ВО:Бакалавр.)(п)</t>
  </si>
  <si>
    <t>Кокин А.С., Яшин Н.И., Яшин С.Н. и др.</t>
  </si>
  <si>
    <t>978-5-369-01524-7</t>
  </si>
  <si>
    <t>38.04.02, 38.03.01, 38.03.02, 44.03.05, 41.03.06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</si>
  <si>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«Менеджмент»</t>
  </si>
  <si>
    <t>660870.01.01</t>
  </si>
  <si>
    <t>Корпоративные финансы: Уч.пос. / И.Г.Кукукина, - 2 изд.-М.:НИЦ ИНФРА-М,2023.-422 с.(ВО: Магистр.)(П)</t>
  </si>
  <si>
    <t>КОРПОРАТИВНЫЕ ФИНАНСЫ, ИЗД.2</t>
  </si>
  <si>
    <t>Кукукина И.Г., Макарова А.В., Кукукина И.Г.</t>
  </si>
  <si>
    <t>978-5-16-013819-0</t>
  </si>
  <si>
    <t>38.04.02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</si>
  <si>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9 от 17.11.2022)</t>
  </si>
  <si>
    <t>Ивановский государственный энергетический университет им. В.И. Ленина</t>
  </si>
  <si>
    <t>647675.04.01</t>
  </si>
  <si>
    <t>Корпоративные финансы: Уч.пос. / М.В.Чараева - М.:НИЦ ИНФРА-М,2023.-286 с.-(ВО: Бакалавриат)(П)</t>
  </si>
  <si>
    <t>Чараева М.В.</t>
  </si>
  <si>
    <t>978-5-16-011081-3</t>
  </si>
  <si>
    <t>38.04.08, 38.03.01, 38.03.02, 44.03.05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</si>
  <si>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</si>
  <si>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353400.05.01</t>
  </si>
  <si>
    <t>Корпоративные финансы: Финансовые расчеты: Уч. / А.И.Самылин-М.:НИЦ ИНФРА-М,2024.-472 с..-(ВО)(п)</t>
  </si>
  <si>
    <t>КОРПОРАТИВНЫЕ ФИНАНСЫ: ФИНАНСОВЫЕ РАСЧЕТЫ</t>
  </si>
  <si>
    <t>Самылин А.И.</t>
  </si>
  <si>
    <t>978-5-16-018870-6</t>
  </si>
  <si>
    <t>38.03.01, 38.03.02, 44.03.05, 41.03.06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</si>
  <si>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обучающихся по программам высшего образования направлений подготовки 38.03.02 «Менеджмент», 38.03.01 «Экономика» (квалификация (степень) «бакалавр») Регистрационный номер рецензии 335 от 17 июня 2015 г. (ФГАУ ФИРО)</t>
  </si>
  <si>
    <t>436050.02.01</t>
  </si>
  <si>
    <t>Косвенные (опосредованные) правовые отн.: вопросы методологии и значение в фин. деят.гос.: Моногр./ А.М. Асадов-М.:Норма,2015-320 с(П)</t>
  </si>
  <si>
    <t>КОСВЕННЫЕ (ОПОСРЕДОВАННЫЕ) ПРАВОВЫЕ ОТНОШЕНИЯ: ВОПРОСЫ МЕТОДОЛОГИИ И ЗНАЧЕНИЕ В ФИНАНСОВОЙ ДЕЯТЕЛЬНОСТИ ГОСУДАРСТВА</t>
  </si>
  <si>
    <t>Асадов А. М.</t>
  </si>
  <si>
    <t>Переплет</t>
  </si>
  <si>
    <t>978-5-91768-375-1</t>
  </si>
  <si>
    <t>Уральский институт экономики, управления и права</t>
  </si>
  <si>
    <t>176000.06.01</t>
  </si>
  <si>
    <t>Краткосрочная и долгосрочная фин. полит. фирмы: Уч. /Н.Н.Симоненко -М.:Магистр, НИЦ ИНФРА-М, 2022 -512с.</t>
  </si>
  <si>
    <t>КРАТКОСРОЧНАЯ И ДОЛГОСРОЧНАЯ ФИНАНСОВАЯ ПОЛИТИКА ФИРМЫ</t>
  </si>
  <si>
    <t>Симоненко Н.Н., Симоненко В.Н.</t>
  </si>
  <si>
    <t>978-5-9776-0246-4</t>
  </si>
  <si>
    <t>Рекомендовано Учебнометодическим объединением вузов России по образованию в области экономики и экономической теории в качестве учебника для аспирантов, студентовмагистров и студентов высших учебных заведений, обучающихся по направлению 080100 «Эко</t>
  </si>
  <si>
    <t>Комсомольский-на-Амуре государственный университет</t>
  </si>
  <si>
    <t>413500.07.01</t>
  </si>
  <si>
    <t>Краткосрочная финансовая политика: Уч.пос. / Е.А.Приходько - М.:НИЦ ИНФРА-М,2023-332с-(ВО:Бак.)(П)</t>
  </si>
  <si>
    <t>КРАТКОСРОЧНАЯ ФИНАНСОВАЯ ПОЛИТИКА</t>
  </si>
  <si>
    <t>Приходько Е.А.</t>
  </si>
  <si>
    <t>978-5-16-005058-4</t>
  </si>
  <si>
    <t>38.04.01, 38.04.08, 38.03.01, 41.03.06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</si>
  <si>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38.03.01 «Экономика» и специальности «Финансы и кредит»</t>
  </si>
  <si>
    <t>Новосибирский государственный технический университет</t>
  </si>
  <si>
    <t>398600.08.01</t>
  </si>
  <si>
    <t>Кредитный анализ в коммерч. банке: Уч.пос. / С.Ю.Хасянова - М.:НИЦ ИНФРА-М,2023 - 196 с.(ВО)(О)</t>
  </si>
  <si>
    <t>КРЕДИТНЫЙ АНАЛИЗ В КОММЕРЧЕСКОМ БАНКЕ</t>
  </si>
  <si>
    <t>Хасянова С.Ю.</t>
  </si>
  <si>
    <t>978-5-16-011277-0</t>
  </si>
  <si>
    <t>38.00.00, 38.04.08</t>
  </si>
  <si>
    <t>Рекомендовано учебно-методическим советом секции «Экономика» Нижегородского филиала НИУ — ВШЭ от 14 мая 2012 г. в качестве учебного пособия для студентов бакалавриата направления 38.03.01 «Экономика» и магистратуры направления 38.04.08 «Финансы и кредит»</t>
  </si>
  <si>
    <t>348400.07.01</t>
  </si>
  <si>
    <t>Кредитование малого бизнеса: Практ.пос. / А.Н.Мордвинкин - 2изд.-М.:ИЦ РИОР,НИЦ ИНФРА-М,2023-318с(П)</t>
  </si>
  <si>
    <t>КРЕДИТОВАНИЕ МАЛОГО БИЗНЕСА, ИЗД.2</t>
  </si>
  <si>
    <t>Мордвинкин А.Н.</t>
  </si>
  <si>
    <t>Наука и практика</t>
  </si>
  <si>
    <t>978-5-369-01673-2</t>
  </si>
  <si>
    <t>Практическое пособие</t>
  </si>
  <si>
    <t>38.02.07, 38.02.01, 38.02.03, 38.04.01, 38.04.08, 38.06.01, 38.03.01</t>
  </si>
  <si>
    <t>337400.04.01</t>
  </si>
  <si>
    <t>Лабораторный практ. по бух. учету и фин.анализу: Уч.пос. /Л.В.Пономарева - М.:Вуз.уч., НИЦ ИНФРА-М, 2022-287с(П)</t>
  </si>
  <si>
    <t>ЛАБОРАТОРНЫЙ ПРАКТИКУМ  ПО БУХГАЛТЕРСКОМУ УЧЕТУ И ФИНАНСОВОМУ АНАЛИЗУ (СКВОЗНАЯ ЗАДАЧА)</t>
  </si>
  <si>
    <t>978-5-9558-0420-0</t>
  </si>
  <si>
    <t>Рекомендуется в качестве учебного пособия для студентов высших учебных заведений, обучающихся по направлению подготовки 38.03.01 «Экономика» (уровень подготовки — бакалавр)</t>
  </si>
  <si>
    <t>049530.17.01</t>
  </si>
  <si>
    <t>Лабораторный практикум по бух.учету: Уч.пос. /Л.В.Пономарева-5изд.-М.:Вуз.уч.,НИЦ ИНФРА-М,2024-228с.(О)</t>
  </si>
  <si>
    <t>ЛАБОРАТОРНЫЙ ПРАКТИКУМ ПО БУХГАЛТЕРСКОМУ УЧЕТУ (СКВОЗНАЯ ЗАДАЧА), ИЗД.5</t>
  </si>
  <si>
    <t>978-5-9558-0407-1</t>
  </si>
  <si>
    <t>145350.07.01</t>
  </si>
  <si>
    <t>Логистическая система упр.фин.корпорат.структур: Моногр. / С.Е.Барыкин -М.:НИЦ ИНФРА-М,2021-172с.(О)</t>
  </si>
  <si>
    <t>ЛОГИСТИЧЕСКАЯ СИСТЕМА УПРАВЛЕНИЯ ФИНАНСАМИ КОРПОРАТИВНЫХ СТРУКТУР</t>
  </si>
  <si>
    <t>Барыкин С.Е.</t>
  </si>
  <si>
    <t>978-5-16-009797-8</t>
  </si>
  <si>
    <t>38.04.01, 38.04.08, 38.04.06, 38.04.02, 38.03.01, 38.03.06, 38.03.02, 44.03.05</t>
  </si>
  <si>
    <t>728023.05.01</t>
  </si>
  <si>
    <t>Математические методы принятия управ. решений: Уч.пос. / Г.С.Жукова-М.:НИЦ ИНФРА-М,2023.-212 с.(ВО)(П)</t>
  </si>
  <si>
    <t>МАТЕМАТИЧЕСКИЕ МЕТОДЫ ПРИНЯТИЯ УПРАВЛЕНЧЕСКИХ РЕШЕНИЙ</t>
  </si>
  <si>
    <t>Жукова Г.С.</t>
  </si>
  <si>
    <t>978-5-16-018725-9</t>
  </si>
  <si>
    <t>ЕСТЕСТВЕННЫЕ НАУКИ. МАТЕМАТИКА</t>
  </si>
  <si>
    <t>Физико-математические науки</t>
  </si>
  <si>
    <t>Рекомендовано Министерством образования и науки Российской Федерации в качестве учебного пособия для студентов высших учебных заведений, обучающихся по экономическим специальностям</t>
  </si>
  <si>
    <t>696683.03.01</t>
  </si>
  <si>
    <t>Международная валютно-финансовая система: Уч. / Е.В.Зенкина-М.:НИЦ ИНФРА-М,2023.-190 с..-(ВО)(П)</t>
  </si>
  <si>
    <t>МЕЖДУНАРОДНАЯ ВАЛЮТНО-ФИНАНСОВАЯ СИСТЕМА</t>
  </si>
  <si>
    <t>Зенкина Е.В.</t>
  </si>
  <si>
    <t>978-5-16-014954-7</t>
  </si>
  <si>
    <t>38.03.01, 38.03.06, 38.03.02, 38.03.04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</si>
  <si>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 38.03.01 «Экономика», 38.03.02 «Менеджмент», 38.03.04 «Государственное и муниципальное управление», 38.03.06 «Торговое дело» (протокол № 10 от 27.05.2019)</t>
  </si>
  <si>
    <t>Российский государственный гуманитарный университет РГГУ</t>
  </si>
  <si>
    <t>656454.03.01</t>
  </si>
  <si>
    <t>Международная практика оценочной деят.: Уч.пос./С.Ю.Богатырев-М.:ИЦ РИОР,НИЦ ИНФРА-М,2019-96с-(ВО)(О)</t>
  </si>
  <si>
    <t>МЕЖДУНАРОДНАЯ ПРАКТИКА ОЦЕНОЧНОЙ ДЕЯТЕЛЬНОСТИ</t>
  </si>
  <si>
    <t>978-5-369-01689-3</t>
  </si>
  <si>
    <t>682755.03.01</t>
  </si>
  <si>
    <t>Международное налоговое право: Уч.пос. / В.А.Мачехин - М.:Юр.Норма, НИЦ ИНФРА-М,2022 - 128 с.(О)</t>
  </si>
  <si>
    <t>МЕЖДУНАРОДНОЕ НАЛОГОВОЕ ПРАВО</t>
  </si>
  <si>
    <t>Мачехин В.А., Арзуманова Л.Л., Горлова Е.Н. и др.</t>
  </si>
  <si>
    <t>978-5-91768-912-8</t>
  </si>
  <si>
    <t>40.05.04, 40.03.01, 40.04.01, 40.05.01, 40.05.02, 40.05.03, 44.03.05</t>
  </si>
  <si>
    <t>075800.16.01</t>
  </si>
  <si>
    <t>Международные валютно-кредитные отношения: Уч. / Н.П.Гусаков - 3-изд.-М.:НИЦ ИНФРА-М,2022-351с.(П)</t>
  </si>
  <si>
    <t>МЕЖДУНАРОДНЫЕ ВАЛЮТНО-КРЕДИТНЫЕ ОТНОШЕНИЯ, ИЗД.3</t>
  </si>
  <si>
    <t>Гусаков Н.П., Белова И.Н., Стренина М.А. и др.</t>
  </si>
  <si>
    <t>Учебники РУДН</t>
  </si>
  <si>
    <t>978-5-16-012234-2</t>
  </si>
  <si>
    <t>38.04.08, 38.04.02, 38.04.04, 38.05.01, 38.03.01, 38.03.02, 38.03.04</t>
  </si>
  <si>
    <t>Рекомендовано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</t>
  </si>
  <si>
    <t>138000.08.01</t>
  </si>
  <si>
    <t>Международные валютно-кредитные отношения: Уч./Г.Л.Авагян-2изд.-М.:Магистр,НИЦ ИНФРА-М,2022-704с.(п)</t>
  </si>
  <si>
    <t>МЕЖДУНАРОДНЫЕ ВАЛЮТНО-КРЕДИТНЫЕ ОТНОШЕНИЯ, ИЗД.2</t>
  </si>
  <si>
    <t>Авагян Г. Л., Вешкин Ю. Г.</t>
  </si>
  <si>
    <t>978-5-9776-0168-9</t>
  </si>
  <si>
    <t>Допущено Министерством образования и науки Российской Федерации в качестве учебника для студентов вузов, обучающихся по финансово-экономическим специальностям</t>
  </si>
  <si>
    <t>0210</t>
  </si>
  <si>
    <t>677990.05.01</t>
  </si>
  <si>
    <t>Международные валютно-фин.отнош. в постиндустр.мире: Моногр./Е.В.Зенкина-М.:НИЦ ИНФРА-М,2023-169с(П)</t>
  </si>
  <si>
    <t>МЕЖДУНАРОДНЫЕ ВАЛЮТНО-ФИНАНСОВЫЕ ОТНОШЕНИЯ В ПОСТИНДУСТРИАЛЬНОМ МИРЕ</t>
  </si>
  <si>
    <t>978-5-16-013682-0</t>
  </si>
  <si>
    <t>645474.06.01</t>
  </si>
  <si>
    <t>Международные денежные расчеты: Уч.пос. / И.М.Кутузов - М.:Юр.Норма, НИЦ ИНФРА-М,2021-208 с.(П)</t>
  </si>
  <si>
    <t>МЕЖДУНАРОДНЫЕ ДЕНЕЖНЫЕ РАСЧЕТЫ</t>
  </si>
  <si>
    <t>Кутузов И.М., Пузырева Е.Н.</t>
  </si>
  <si>
    <t>978-5-91768-785-8</t>
  </si>
  <si>
    <t>40.05.04, 40.03.01, 40.05.01, 40.05.02, 40.05.03, 44.03.05</t>
  </si>
  <si>
    <t>635295.05.01</t>
  </si>
  <si>
    <t>Международные расчеты и валют. операции: Уч.пос. / Ю.В.Никитинская-М.:Вуз. уч., НИЦ ИНФРА-М,2022.-215 с.(П)</t>
  </si>
  <si>
    <t>МЕЖДУНАРОДНЫЕ РАСЧЕТЫ И ВАЛЮТНЫЕ ОПЕРАЦИИ</t>
  </si>
  <si>
    <t>Никитинская Ю.В., Нечаева Т.В.</t>
  </si>
  <si>
    <t>978-5-9558-0519-1</t>
  </si>
  <si>
    <t>38.04.01, 38.03.01, 38.03.04, 44.03.01, 44.03.05</t>
  </si>
  <si>
    <t>МИРЭА - Российский технологический университет</t>
  </si>
  <si>
    <t>696779.02.01</t>
  </si>
  <si>
    <t>Международные стандарты аудита: теория и практика: Уч. / Л.И.Воронина - М.:НИЦ ИНФРА-М,2022 - 456 с.(ВО)(П)</t>
  </si>
  <si>
    <t>МЕЖДУНАРОДНЫЕ СТАНДАРТЫ АУДИТА: ТЕОРИЯ И ПРАКТИКА</t>
  </si>
  <si>
    <t>978-5-16-015489-3</t>
  </si>
  <si>
    <t>Рекомендовано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17 от 11.11.2019)</t>
  </si>
  <si>
    <t>083460.11.01</t>
  </si>
  <si>
    <t>Международные стандарты аудита: Уч. пос. / С.П.Суворова-2изд.-М.:ИД ФОРУМ:НИЦ ИНФРА-М,2024-304с.(ВО) (п)</t>
  </si>
  <si>
    <t>МЕЖДУНАРОДНЫЕ СТАНДАРТЫ АУДИТА, ИЗД.2</t>
  </si>
  <si>
    <t>Суворова С. П., Парушина Н. В., Галкина Е. В.</t>
  </si>
  <si>
    <t>978-5-8199-0503-6</t>
  </si>
  <si>
    <t>Орловский государственный университет им. И.С. Тургенева</t>
  </si>
  <si>
    <t>756452.01.01</t>
  </si>
  <si>
    <t>Международные стандарты аудита: Уч.пос. / Л.Л.Арзуманова и др. - М.:Юр.Норма, НИЦ ИНФРА-М,2021 - 152 с.(П)</t>
  </si>
  <si>
    <t>МЕЖДУНАРОДНЫЕ СТАНДАРТЫ АУДИТА</t>
  </si>
  <si>
    <t>Арзуманова Л.Л., Орлова Н.Ю., Цареградская Ю.К. и др.</t>
  </si>
  <si>
    <t>978-5-00156-169-9</t>
  </si>
  <si>
    <t>664268.07.01</t>
  </si>
  <si>
    <t>Международные стандарты фин. отчет.: Уч. / Е.А.Мизиковский - 2 изд. - М.:Магистр, ИНФРА-М,2022 - 568с(П)</t>
  </si>
  <si>
    <t>МЕЖДУНАРОДНЫЕ СТАНДАРТЫ ФИНАНСОВОЙ ОТЧЕТНОСТИ, ИЗД.2</t>
  </si>
  <si>
    <t>Мизиковский Е.А., Дружиловская Т.Ю., Дружиловская Э.С.</t>
  </si>
  <si>
    <t>978-5-9776-0505-2</t>
  </si>
  <si>
    <t>38.03.01, 44.03.01</t>
  </si>
  <si>
    <t>159500.08.01</t>
  </si>
  <si>
    <t>Международные стандарты фин. отчет.: Уч. / Под ред. В.Г.Гетьмана - 3 изд. - ИНФРА-М, 2019-559с.(ВО)</t>
  </si>
  <si>
    <t>МЕЖДУНАРОДНЫЕ СТАНДАРТЫ ФИНАНСОВОЙ ОТЧЕТНОСТИ, ИЗД.3</t>
  </si>
  <si>
    <t>Гетьман В.Г., Рожнова О.В., Литвиненко М.И. и др.</t>
  </si>
  <si>
    <t>978-5-16-012520-6</t>
  </si>
  <si>
    <t>38.03.01, 38.03.06, 38.03.02, 44.03.01</t>
  </si>
  <si>
    <t>Рекомендовано Государственным университетом управления в качестве учебника для студентов высших учебных заведений, обучающихся экономическим специальностям и направлениям</t>
  </si>
  <si>
    <t>664268.02.01</t>
  </si>
  <si>
    <t>Международные стандарты фин. отчетности и соврем.бух.учет. в России: Уч. / Е.А.Мизиковский-М.:Магистр, НИЦ ИНФРА-М,2018-560с(П)</t>
  </si>
  <si>
    <t>МЕЖДУНАРОДНЫЕ СТАНДАРТЫ ФИНАНСОВОЙ ОТЧЕТНОСТИ И СОВРЕМЕННЫЙ БУХГАЛТЕРСКИЙ УЧЕТ В РОССИИ</t>
  </si>
  <si>
    <t>978-5-9776-0466-6</t>
  </si>
  <si>
    <t>185700.06.01</t>
  </si>
  <si>
    <t>Международные стандарты фин. отчетности.: Уч. пос./Л.И. Куликова-М.: Магистр, НИЦ ИНФРА-М,2019-400с.</t>
  </si>
  <si>
    <t>МЕЖДУНАРОДНЫЕ СТАНДАРТЫ ФИНАНСОВОЙ ОТЧЕТНОСТИ. НЕФИНАНСОВЫЕ АКТИВЫ ОРГАНИЗАЦИИ</t>
  </si>
  <si>
    <t>Куликова Л. И.</t>
  </si>
  <si>
    <t>978-5-9776-0230-3</t>
  </si>
  <si>
    <t>38.00.00, 38.04.01, 38.04.08, 38.03.01, 44.03.01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</si>
  <si>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«Экономикам специальности «Бухгалтерский учет, анализ и аудит»</t>
  </si>
  <si>
    <t>736511.02.01</t>
  </si>
  <si>
    <t>Международные стандарты финанс. отчет. и аудита: Уч. / М.А.Вахрушина - М.:НИЦ ИНФРА-М,2022 - 447 с.(ВО)(П)</t>
  </si>
  <si>
    <t>МЕЖДУНАРОДНЫЕ СТАНДАРТЫ ФИНАНСОВОЙ ОТЧЕТНОСТИ И АУДИТА</t>
  </si>
  <si>
    <t>Вахрушина М.А., Суйц В.П.</t>
  </si>
  <si>
    <t>978-5-16-016325-3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</si>
  <si>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38.04.01 «Экономика» (квалификация (степень) «магистр») (протокол № 1 от 20.01.2021)</t>
  </si>
  <si>
    <t>086254.13.01</t>
  </si>
  <si>
    <t>Международные стандарты финанс. отчет.(МСФО): Уч. / Ю.А.Бабаев - М.:Вуз. уч., НИЦ ИНФРА-М,2020-398 с.(ВО)(П)</t>
  </si>
  <si>
    <t>МЕЖДУНАРОДНЫЕ СТАНДАРТЫ ФИНАНСОВОЙ ОТЧЕТНОСТИ (МСФО)</t>
  </si>
  <si>
    <t>978-5-9558-0207-7</t>
  </si>
  <si>
    <t>38.04.01, 38.03.01, 44.03.01</t>
  </si>
  <si>
    <t>Рекомендовано в качестве учебника для студентов высших учебных заведений, обучающихся  по направлению подготовки 38.03.01 «Экономика» (квалификация (степень) «бакалавр»)</t>
  </si>
  <si>
    <t>159500.10.01</t>
  </si>
  <si>
    <t>Международные стандарты финанс. отчет.: Уч. / Гетьман В.Г. - 4 изд. - М.:НИЦ ИНФРА-М,2023 - 582 с(П)</t>
  </si>
  <si>
    <t>МЕЖДУНАРОДНЫЕ СТАНДАРТЫ ФИНАНСОВОЙ ОТЧЕТНОСТИ, ИЗД.4</t>
  </si>
  <si>
    <t>Гетьман В.Г., Рожнова О.В., Гришкина С.Н. и др.</t>
  </si>
  <si>
    <t>978-5-16-016442-7</t>
  </si>
  <si>
    <t>0422</t>
  </si>
  <si>
    <t>665682.02.01</t>
  </si>
  <si>
    <t>Международные стандарты финанс. отчет.: Уч. / Т.В.Шишкова, - 3 изд.-М.:НИЦ ИНФРА-М,2021.-265с(П)(ВО)</t>
  </si>
  <si>
    <t>Шишкова Т.В., Козельцева Е.А.</t>
  </si>
  <si>
    <t>978-5-16-013583-0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</si>
  <si>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38.04.01 «Экономика», 38.04.08 «Финансы и кредит» (квалификация (степень) «магистр»)</t>
  </si>
  <si>
    <t>763862.01.01</t>
  </si>
  <si>
    <t>Международные стандарты финанс. отчетности...: Уч. / Т.В.Морозова - М.:НИЦ ИНФРА-М,2022 - 293 с.(П)</t>
  </si>
  <si>
    <t>МЕЖДУНАРОДНЫЕ СТАНДАРТЫ ФИНАНСОВОЙ ОТЧЕТНОСТИ: МАТЕРИАЛЬНЫЕ И НЕМАТЕРИАЛЬНЫЕ АКТИВЫ. ПРАКТИКА ПРИМЕНЕНИЯ</t>
  </si>
  <si>
    <t>Морозова Т.В., Малицкая В.Б.</t>
  </si>
  <si>
    <t>978-5-16-017242-2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</si>
  <si>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10 от 15.12.2021)</t>
  </si>
  <si>
    <t>776425.01.01</t>
  </si>
  <si>
    <t>Международные стандарты финансовой отчетности...: Уч. / В.Б.Малицкая-М.:НИЦ ИНФРА-М,2023.-254 с.(ВО)(п)</t>
  </si>
  <si>
    <t>МЕЖДУНАРОДНЫЕ СТАНДАРТЫ ФИНАНСОВОЙ ОТЧЕТНОСТИ</t>
  </si>
  <si>
    <t>Малицкая В.Б., Морозова Т.В.</t>
  </si>
  <si>
    <t>978-5-16-017723-6</t>
  </si>
  <si>
    <t>38.04.08, 38.04.06, 38.03.01</t>
  </si>
  <si>
    <t>677047.05.01</t>
  </si>
  <si>
    <t>Международные стандарты финансовой отчетности: Уч. / А.М.Петров - М.:Вуз.уч.,НИЦ ИНФРА-М,2020 - 449 с(ВО)</t>
  </si>
  <si>
    <t>Высшее образование: Магистратура (ФУ)</t>
  </si>
  <si>
    <t>978-5-9558-0613-6</t>
  </si>
  <si>
    <t>40.03.01, 38.04.08, 44.03.01, 44.03.05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</si>
  <si>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38.04.01 «Экономика»  (квалификация (степень) «магистр»)</t>
  </si>
  <si>
    <t>680306.03.01</t>
  </si>
  <si>
    <t>Международные финансовые стандарты в заруб. доктрине.../ В.В.Кудряшов-М.:НИЦ ИНФРА-М,2023.-249с(О)</t>
  </si>
  <si>
    <t>МЕЖДУНАРОДНЫЕ ФИНАНСОВЫЕ СТАНДАРТЫ В ЗАРУБЕЖНОЙ ДОКТРИНЕ МЕЖДУНАРОДНОГО ФИНАНСОВОГО ПРАВА</t>
  </si>
  <si>
    <t>Кудряшов В.В.</t>
  </si>
  <si>
    <t>978-5-16-013737-7</t>
  </si>
  <si>
    <t>40.03.01, 40.04.01, 38.04.01, 38.04.08, 38.03.01, 44.03.05</t>
  </si>
  <si>
    <t>320400.06.01</t>
  </si>
  <si>
    <t>Международные финансы: обзор. курс: Уч. / С.В.Котелкин - 2 изд. - М.:Магистр, НИЦ ИНФРА-М,2023 - 368 с(П)</t>
  </si>
  <si>
    <t>МЕЖДУНАРОДНЫЕ ФИНАНСЫ: ОБЗОРНЫЙ КУРС, ИЗД.2</t>
  </si>
  <si>
    <t>Котелкин С.В.</t>
  </si>
  <si>
    <t>978-5-9776-0503-8</t>
  </si>
  <si>
    <t>320400.03.01</t>
  </si>
  <si>
    <t>Международные финансы: Уч. / С.В.Котелкин - М.:Магистр, НИЦ ИНФРА-М,2018 - 688 с.(п)</t>
  </si>
  <si>
    <t>МЕЖДУНАРОДНЫЕ ФИНАНСЫ</t>
  </si>
  <si>
    <t>978-5-9776-0350-8</t>
  </si>
  <si>
    <t>241300.07.01</t>
  </si>
  <si>
    <t>Международные финансы: Уч.пос. / Е.Н.Карпова и др. - 4 изд. - М.:НИЦ ИНФРА-М,2022 - 216 с.(ВО)(П)</t>
  </si>
  <si>
    <t>МЕЖДУНАРОДНЫЕ ФИНАНСЫ, ИЗД.4</t>
  </si>
  <si>
    <t>Карпова Е.Н., Коновалов А.А., Кочановская О.М. и др.</t>
  </si>
  <si>
    <t>978-5-16-012706-4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</si>
  <si>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</si>
  <si>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127850.08.01</t>
  </si>
  <si>
    <t>Международный финансовый менеджмент: Уч.пос. / С.В.Котелкин - М.:Магистр, НИЦ ИНФРА-М,2022-605 с.(П)</t>
  </si>
  <si>
    <t>МЕЖДУНАРОДНЫЙ ФИНАНСОВЫЙ МЕНЕДЖМЕНТ</t>
  </si>
  <si>
    <t>Котелкин С. В.</t>
  </si>
  <si>
    <t>978-5-9776-0137-5</t>
  </si>
  <si>
    <t>38.04.09, 38.04.01, 38.04.08, 38.04.02, 38.03.01, 38.03.02, 38.03.03, 44.03.01, 44.03.05, 41.03.06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</si>
  <si>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"Мировая экономика" и "Финансы и кредит"</t>
  </si>
  <si>
    <t>490350.04.01</t>
  </si>
  <si>
    <t>Методика анализа финансового состояния и...: Моногр. / Ю.И.Сигидов-М.:НИЦ ИНФРА-М,2024-120с.(О)</t>
  </si>
  <si>
    <t>МЕТОДИКА АНАЛИЗА ФИНАНСОВОГО СОСТОЯНИЯ И ОЦЕНКА ПОТЕНЦИАЛЬНОСТИ БАНКРОТСТВА СЕЛЬСКОХОЗЯЙСТВЕННЫХ ОРГАНИЗАЦИЙ</t>
  </si>
  <si>
    <t>Сигидов Ю.И., С.А.Кучеренко, Н.С.Жминько</t>
  </si>
  <si>
    <t>978-5-16-010865-0</t>
  </si>
  <si>
    <t>38.04.01, 38.04.08, 38.04.02, 38.04.05, 38.06.01, 38.03.01, 38.03.05, 38.03.02</t>
  </si>
  <si>
    <t>477050.10.01</t>
  </si>
  <si>
    <t>Методика аудитор. проверки: Моногр. / Под ред. Барышникова Н.Г.-М.:НИЦ ИНФРА-М,2023-231с.(Науч.мысль)(о)</t>
  </si>
  <si>
    <t>МЕТОДИКА АУДИТОРСКОЙ ПРОВЕРКИ: ПРОЦЕДУРЫ, СОВЕТЫ, РЕКОМЕНДАЦИИ</t>
  </si>
  <si>
    <t>Самыгин Д.Ю., Барышников Н.Г., Тусков А.А. и др.</t>
  </si>
  <si>
    <t>978-5-16-010238-2</t>
  </si>
  <si>
    <t>Пензенский государственный университет</t>
  </si>
  <si>
    <t>043030.18.01</t>
  </si>
  <si>
    <t>Методика фин. анализа деят. коммерческих орг. / А.Д.Шеремет - 2 изд. - М.:НИЦ ИНФРА-М,2024.-208 с.(О)</t>
  </si>
  <si>
    <t>МЕТОДИКА ФИНАНСОВОГО АНАЛИЗА ДЕЯТЕЛЬНОСТИ КОММЕРЧЕСКИХ ОРГАНИЗАЦИЙ, ИЗД.2</t>
  </si>
  <si>
    <t>Шеремет А. Д., Негашев Е. В.</t>
  </si>
  <si>
    <t>978-5-16-003068-5</t>
  </si>
  <si>
    <t>25.04.03, 25.04.04, 38.04.08, 38.03.01, 38.03.02, 41.03.06</t>
  </si>
  <si>
    <t>Рекомендовано Методологическим советом Министерства финансов Российской Федерации по бухгалтерскому учету для коммерческих организаций и Ассоциацией бухгалтеров и аудиторов «Содружество» для слушателей системы подготовки профессиональных бухгалтеров и аудиторов в качестве практического пособия</t>
  </si>
  <si>
    <t>790153.01.01</t>
  </si>
  <si>
    <t>Методические аспекты оценки сис. внутр. контроля орг. / С.А.Касьянова.-М.:НИЦ ИНФРА-М,2023.-334 с.(о)</t>
  </si>
  <si>
    <t>МЕТОДИЧЕСКИЕ АСПЕКТЫ ОЦЕНКИ СИСТЕМЫ ВНУТРЕННЕГО КОНТРОЛЯ ОРГАНИЗАЦИИ</t>
  </si>
  <si>
    <t>Касьянова С.А., Салий В.В., Шарудина З.А.</t>
  </si>
  <si>
    <t>978-5-16-018055-7</t>
  </si>
  <si>
    <t>38.04.01, 38.04.08, 38.04.06, 38.04.02, 38.05.01, 38.06.01, 38.07.02</t>
  </si>
  <si>
    <t>766073.01.01</t>
  </si>
  <si>
    <t>Методология учетно-аналитич. обеспеч. контроллинга в сис...: Моногр. / Н.С.Пласкова-М.:НИЦ ИНФРА-М,2022.-198 с.(П)</t>
  </si>
  <si>
    <t>МЕТОДОЛОГИЯ УЧЕТНО-АНАЛИТИЧЕСКОГО ОБЕСПЕЧЕНИЯ КОНТРОЛЛИНГА В СИСТЕМЕ УПРАВЛЕНИЯ ОРГАНИЗАЦИЕЙ</t>
  </si>
  <si>
    <t>978-5-16-017318-4</t>
  </si>
  <si>
    <t>56.05.01, 38.02.06, 38.04.01, 38.04.08, 38.04.02, 38.06.01</t>
  </si>
  <si>
    <t>636925.03.01</t>
  </si>
  <si>
    <t>Методология финансовых исследований: Уч.пос. / Е.А.Федорова - М.:Вуз.уч., НИЦ ИНФРА-М,2019-281 с.(П)</t>
  </si>
  <si>
    <t>МЕТОДОЛОГИЯ ФИНАНСОВЫХ ИССЛЕДОВАНИЙ</t>
  </si>
  <si>
    <t>Федорова Е.А., Гиленко Е.В.</t>
  </si>
  <si>
    <t>978-5-9558-0526-9</t>
  </si>
  <si>
    <t>704179.03.01</t>
  </si>
  <si>
    <t>Методы оценки эффект. упр. производ.-фин. деят. предп.: Моногр./А.В.Мищенко-М.:НИЦ ИНФРА-М,2023-338с</t>
  </si>
  <si>
    <t>МЕТОДЫ ОЦЕНКИ ЭФФЕКТИВНОСТИ УПРАВЛЕНИЯ ПРОИЗВОДСТВЕННО-ФИНАНСОВОЙ ДЕЯТЕЛЬНОСТЬЮ ПРЕДПРИЯТИЯ</t>
  </si>
  <si>
    <t>Мищенко А.В., Михеева Е.В.</t>
  </si>
  <si>
    <t>978-5-16-015286-8</t>
  </si>
  <si>
    <t>737037.01.01</t>
  </si>
  <si>
    <t>Методы финансового планирования и оценки..: Моногр. / А.В.Мищенко-М.:НИЦ ИНФРА-М,2023.-304 с.(О)</t>
  </si>
  <si>
    <t>МЕТОДЫ ФИНАНСОВОГО ПЛАНИРОВАНИЯ И ОЦЕНКИ ЭФФЕКТИВНОСТИ УПРАВЛЕНИЯ ПРОИЗВОДСТВЕННО-ФИНАНСОВОЙ ДЕЯТЕЛЬНОСТЬЮ ПРЕДПРИЯТИЯ</t>
  </si>
  <si>
    <t>Мищенко А.В., Пилюгина А.В.</t>
  </si>
  <si>
    <t>978-5-16-017783-0</t>
  </si>
  <si>
    <t>372500.02.01</t>
  </si>
  <si>
    <t>Механизм обеспечения исп. обязанности по уплате налогов /С.А. Ядрихинский -Юр.Норма, НИЦ ИНФРА-М, 2017 -144с</t>
  </si>
  <si>
    <t>МЕХАНИЗМ ОБЕСПЕЧЕНИЯ ИСПОЛНЕНИЯ ОБЯЗАННОСТИ ПО УПЛАТЕ НАЛОГОВ: ПРОБЛЕМЫ ТЕОРИИ И ПРАКТИКИ</t>
  </si>
  <si>
    <t>Ядрихинский С.А., Грачева Е.Ю.</t>
  </si>
  <si>
    <t>978-5-91768-624-0</t>
  </si>
  <si>
    <t>40.03.01, 38.03.01, 44.03.01, 44.03.05</t>
  </si>
  <si>
    <t>452150.06.01</t>
  </si>
  <si>
    <t>Модели и алгоритмы финансового инвестирования: Уч. пос. / М.И.Лисица - М:Вуз. учеб.: ИНФРА-М,2022-192с.(П)</t>
  </si>
  <si>
    <t>МОДЕЛИ И АЛГОРИТМЫ ФИНАНСОВОГО ИНВЕСТИРОВАНИЯ</t>
  </si>
  <si>
    <t>Лисица М. И.</t>
  </si>
  <si>
    <t>978-5-9558-0341-8</t>
  </si>
  <si>
    <t>38.04.01, 38.04.08, 38.04.05, 38.03.04</t>
  </si>
  <si>
    <t>174250.05.01</t>
  </si>
  <si>
    <t>Модели объектов бух. учета: Уч.пос. / Г.Ф. Чернецкая - М.: НИЦ ИНФРА-М, 2020 - 79 с. (ВО) (о)</t>
  </si>
  <si>
    <t>МОДЕЛИ ОБЪЕКТОВ БУХГАЛТЕРСКОГО УЧЕТА</t>
  </si>
  <si>
    <t>Чернецкая Г. Ф.</t>
  </si>
  <si>
    <t>978-5-16-005380-6</t>
  </si>
  <si>
    <t>38.02.04, 38.02.07, 38.02.03, 38.04.09, 38.04.01, 38.04.08, 38.04.06, 38.04.02, 38.03.01, 38.03.06, 38.03.02</t>
  </si>
  <si>
    <t>174250.08.01</t>
  </si>
  <si>
    <t>Модели объектов бух. учета: Уч.пос. / Г.Ф.Чернецкая - 2 изд. - М.:НИЦ ИНФРА-М,2023 - 103 с.(ВО: Бакалавр.)(П)</t>
  </si>
  <si>
    <t>МОДЕЛИ ОБЪЕКТОВ БУХГАЛТЕРСКОГО УЧЕТА, ИЗД.2</t>
  </si>
  <si>
    <t>Чернецкая Г.Ф.</t>
  </si>
  <si>
    <t>978-5-16-016516-5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</si>
  <si>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12 от 14.12.2020)</t>
  </si>
  <si>
    <t>248400.06.01</t>
  </si>
  <si>
    <t>Модели финансового рынка и прогноз. в фин.сфере: Уч. пос./А.И.Новиков - М.:НИЦ ИНФРА-М,2023 - 256 с.(ВО)(О)</t>
  </si>
  <si>
    <t>МОДЕЛИ ФИНАНСОВОГО РЫНКА И ПРОГНОЗИРОВАНИЕ В ФИНАНСОВОЙ СФЕРЕ</t>
  </si>
  <si>
    <t>Новиков А. И.</t>
  </si>
  <si>
    <t>978-5-16-005370-7</t>
  </si>
  <si>
    <t>Российский университет кооперации</t>
  </si>
  <si>
    <t>681272.03.01</t>
  </si>
  <si>
    <t>МСФО для предпр. малого и среднего бизнеса: Уч. / Под ред. Гетьман В.Г.-М.:НИЦ ИНФРА-М,2023-451 с.(ВО) (П)</t>
  </si>
  <si>
    <t>МСФО ДЛЯ ПРЕДПРИЯТИЙ МАЛОГО И СРЕДНЕГО БИЗНЕСА</t>
  </si>
  <si>
    <t>978-5-16-012306-6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</si>
  <si>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38.04.01 «Экономика» (квалификация (степень) «магистр»)</t>
  </si>
  <si>
    <t>702817.05.01</t>
  </si>
  <si>
    <t>Налоговое право (общая часть) в схемах..: ч.пос. / Л.Л.Арзуманова-М.:Юр.Норма, НИЦ ИНФРА-М,2021-36с</t>
  </si>
  <si>
    <t>НАЛОГОВОЕ ПРАВО (ОБЩАЯ ЧАСТЬ) В СХЕМАХ И ТАБЛИЦАХ</t>
  </si>
  <si>
    <t>Арзуманова Л.Л., Грачева Е.Ю., Болтинова О.В. и др.</t>
  </si>
  <si>
    <t>Обложка. Внакидку</t>
  </si>
  <si>
    <t>978-5-91768-559-5</t>
  </si>
  <si>
    <t>40.05.04, 40.03.01, 40.05.01, 40.05.02, 40.05.03, 38.03.01, 44.03.01, 44.03.05</t>
  </si>
  <si>
    <t>485700.01.01</t>
  </si>
  <si>
    <t>Налоговое право в решен.Конст.Суда РФ 2014г.: Сб./С.Г.Пепеляев-М.:Юр.Норма,НИЦ ИНФРА-М,2016-320с.(о)</t>
  </si>
  <si>
    <t>НАЛОГОВОЕ ПРАВО В РЕШЕНИЯХ КОНСТИТУЦИОННОГО СУДА РФ 2014 ГОДА: ПО МАТЕРИАЛАМ XII МЕЖДУНАР.НАУЧ.ПРАКТ.КОНФ. 17-18 АПРЕЛЯ 2015 Г., МОСКВА</t>
  </si>
  <si>
    <t>ПепеляевС.Г., ЗавязочниковаМ.В.</t>
  </si>
  <si>
    <t>978-5-91768-718-6</t>
  </si>
  <si>
    <t>Сборник документов</t>
  </si>
  <si>
    <t>768617.01.01</t>
  </si>
  <si>
    <t>Налоговое право государств ЕАЭС: Уч. / А.Н.Козырин - М.:Юр.Норма, НИЦ ИНФРА-М,2022 - 388 с.(П)</t>
  </si>
  <si>
    <t>НАЛОГОВОЕ ПРАВО ГОСУДАРСТВ ЕАЭС</t>
  </si>
  <si>
    <t>Козырин А.Н.</t>
  </si>
  <si>
    <t>978-5-00156-212-2</t>
  </si>
  <si>
    <t>40.03.01, 40.04.01, 40.05.01</t>
  </si>
  <si>
    <t>701649.03.01</t>
  </si>
  <si>
    <t>Налоговое право: общая часть: Практикум / Л.Л.Арзуманова-М.:Юр.Норма, НИЦ ИНФРА-М,2023.-52 с.(О)</t>
  </si>
  <si>
    <t>НАЛОГОВОЕ ПРАВО: ОБЩАЯ ЧАСТЬ</t>
  </si>
  <si>
    <t>Арзуманова Л.Л.</t>
  </si>
  <si>
    <t>978-5-91768-996-8</t>
  </si>
  <si>
    <t>40.05.04, 40.03.01, 40.05.01, 40.05.02, 40.05.03</t>
  </si>
  <si>
    <t>814141.01.01</t>
  </si>
  <si>
    <t>Налоговое право: Уч. / А.С.Жутаев-М.:Юр. НОРМА, НИЦ ИНФРА-М,2024.-240 с.(п)</t>
  </si>
  <si>
    <t>НАЛОГОВОЕ ПРАВО</t>
  </si>
  <si>
    <t>Жутаев А.С., Покачалова Е.В., Садчиков М.Н.</t>
  </si>
  <si>
    <t>978-5-00156-332-7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</si>
  <si>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</si>
  <si>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</si>
  <si>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</si>
  <si>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978-5-00156-323-5</t>
  </si>
  <si>
    <t>40.02.01, 40.02.03</t>
  </si>
  <si>
    <t>Июль, 2023</t>
  </si>
  <si>
    <t>0224</t>
  </si>
  <si>
    <t>717331.07.01</t>
  </si>
  <si>
    <t>Налоговое право: Уч. / Л.Л.Арзуманова - М.:Юр.Норма,НИЦ ИНФРА-М,2023 - 152 с.(СПО) (П)</t>
  </si>
  <si>
    <t>978-5-00156-017-3</t>
  </si>
  <si>
    <t>729568.04.01</t>
  </si>
  <si>
    <t>Налоговое право: Уч.пос. / О.В.Колесниченко - М.:ИЦ РИОР, НИЦ ИНФРА-М,2023 - 206 с.(ВО)(П)</t>
  </si>
  <si>
    <t>Колесниченко О.В.</t>
  </si>
  <si>
    <t>978-5-369-01840-8</t>
  </si>
  <si>
    <t>Московский университет Министерства внутренних дел Российской Федерации им. В.Я. Кикотя</t>
  </si>
  <si>
    <t>764457.03.01</t>
  </si>
  <si>
    <t>Налоговый аудит: Уч. / Г.В.Глазкова.-М.:НИЦ ИНФРА-М,2023.-239 с.(ВО: Бакалавр. (Финуниверситет))(П)</t>
  </si>
  <si>
    <t>НАЛОГОВЫЙ АУДИТ</t>
  </si>
  <si>
    <t>Мельник М.В., Глазкова Г.В., Дворецкая В.В. и др.</t>
  </si>
  <si>
    <t>978-5-16-017401-3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</si>
  <si>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«бакалавр») (протокол № 6 от 08.06.2022)</t>
  </si>
  <si>
    <t>672422.05.01</t>
  </si>
  <si>
    <t>Налоговый контроль. Налог. проверки: Уч.пос. / О.В.Болтинова - 2 изд.-М.:Юр.Норма, НИЦ ИНФРА-М,2022.-160 с.(П)</t>
  </si>
  <si>
    <t>НАЛОГОВЫЙ КОНТРОЛЬ. НАЛОГОВЫЕ ПРОВЕРКИ, ИЗД.2</t>
  </si>
  <si>
    <t>Болтинова О.В., Арзуманова Л.Л., Лагкуева И.В. и др.</t>
  </si>
  <si>
    <t>978-5-00156-199-6</t>
  </si>
  <si>
    <t>40.05.04, 40.03.01, 40.04.01, 40.05.01, 40.05.02, 40.05.03, 38.03.01, 44.03.01, 44.03.05, 40.02.03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</si>
  <si>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</si>
  <si>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</si>
  <si>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</si>
  <si>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978-5-00156-012-8</t>
  </si>
  <si>
    <t>40.02.01, 40.02.02, 38.02.06, 38.02.01, 40.02.03</t>
  </si>
  <si>
    <t>672422.04.01</t>
  </si>
  <si>
    <t>Налоговый контроль. Налоговые проверки: Уч.пос. /О.В.Болтинова-М.:Юр.Норма, НИЦ ИНФРА-М,2021-160с(П)</t>
  </si>
  <si>
    <t>978-5-91768-881-7</t>
  </si>
  <si>
    <t>719422.01.01</t>
  </si>
  <si>
    <t>Налогообложение физических лиц: Уч.пос. / Л.Н.Хардикова и др.-М.:НИЦ ИНФРА-М,2020.-221 с.(ВО: Специалитет)(П)</t>
  </si>
  <si>
    <t>НАЛОГООБЛОЖЕНИЕ ФИЗИЧЕСКИХ ЛИЦ</t>
  </si>
  <si>
    <t>Хардикова Л.Н., Белоусова С.Н., Афанасьева Л.В. и др.</t>
  </si>
  <si>
    <t>978-5-16-015725-2</t>
  </si>
  <si>
    <t>38.05.01, 38.03.01, 38.03.02, 38.03.04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</si>
  <si>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38.05.01 «Экономическая безопасность» (квалификация «экономист») (протокол № 17 от 11.11.2019)</t>
  </si>
  <si>
    <t>474350.05.01</t>
  </si>
  <si>
    <t>Национальные модели бух. учета европ/ стран: Моногр. / Т.П.Карпова-М.:Вуз.уч., НИЦ ИНФРА-М,2018.-222 с.(о)</t>
  </si>
  <si>
    <t>НАЦИОНАЛЬНЫЕ МОДЕЛИ БУХГАЛТЕРСКОГО УЧЕТА ЕВРОПЕЙСКИХ СТРАН</t>
  </si>
  <si>
    <t>Карпова Т.П., Винокурова О.А.</t>
  </si>
  <si>
    <t>978-5-9558-0389-0</t>
  </si>
  <si>
    <t>38.04.08, 44.03.01</t>
  </si>
  <si>
    <t>309000.03.01</t>
  </si>
  <si>
    <t>Независимая наднациональная валюта..: Моногр. / А.В.Быстров-М.:НИЦ ИНФРА-М,2018-132с.(Науч.мысль)(О)</t>
  </si>
  <si>
    <t>НЕЗАВИСИМАЯ НАДНАЦИОНАЛЬНАЯ ВАЛЮТА: ТЕОРИЯ И ПРАКТИКА</t>
  </si>
  <si>
    <t>Быстров А.В., Быстрова Д.А., Лызина Н.В. и др.</t>
  </si>
  <si>
    <t>978-5-16-011838-3</t>
  </si>
  <si>
    <t>38.04.08, 38.03.01, 38.03.02, 44.03.01, 41.03.06</t>
  </si>
  <si>
    <t>733399.03.01</t>
  </si>
  <si>
    <t>Нефинансовые факторы формир. финанс. политики... / И.Е.Хвостова - М.:НИЦ ИНФРА-М,2022 - 190 с.(О)</t>
  </si>
  <si>
    <t>НЕФИНАНСОВЫЕ ФАКТОРЫ ФОРМИРОВАНИЯ ФИНАНСОВОЙ ПОЛИТИКИ КОМПАНИИ: СОСТАВ, СТРУКТУРА, ВЗАИМОСВЯЗИ</t>
  </si>
  <si>
    <t>Хвостова И.Е., Макаров А.С., Новак А.Е. и др.</t>
  </si>
  <si>
    <t>978-5-16-016068-9</t>
  </si>
  <si>
    <t>38.04.01, 38.04.08, 38.04.06, 38.04.02, 38.04.04, 38.06.01</t>
  </si>
  <si>
    <t>Национальный исследовательский университет "Высшая школа экономики", ф-л Нижний Новгород</t>
  </si>
  <si>
    <t>790064.02.01</t>
  </si>
  <si>
    <t>Новая теория денег: законы, принципы, практика: Моногр. / Е.А.Скобликов-М.:НИЦ ИНФРА-М,2024.-436 с.(п)</t>
  </si>
  <si>
    <t>НОВАЯ ТЕОРИЯ ДЕНЕГ: ЗАКОНЫ, ПРИНЦИПЫ, ПРАКТИКА</t>
  </si>
  <si>
    <t>Скобликов Е.А.</t>
  </si>
  <si>
    <t>978-5-16-018044-1</t>
  </si>
  <si>
    <t>38.04.01, 38.06.01</t>
  </si>
  <si>
    <t>749703.04.01</t>
  </si>
  <si>
    <t>Новые институты бюджет. права в условиях цифр. рев.: Моногр. / Н.А.Поветкина-М.:Юр.Норма, НИЦ ИНФРА-М,2023.-192 с.(П)</t>
  </si>
  <si>
    <t>НОВЫЕ ИНСТИТУТЫ БЮДЖЕТНОГО ПРАВА В УСЛОВИЯХ ЦИФРОВОЙ РЕВОЛЮЦИИ</t>
  </si>
  <si>
    <t>Поветкина Н.А., Артюхин Р.Е.</t>
  </si>
  <si>
    <t>978-5-00156-144-6</t>
  </si>
  <si>
    <t>40.03.01, 38.04.09, 38.04.01, 38.04.08, 38.04.04, 38.06.01, 38.03.01, 38.03.04</t>
  </si>
  <si>
    <t>764326.01.01</t>
  </si>
  <si>
    <t>Нормативное регулирование бух. учета: Уч.пос. / Р.Б.Шахбанов-М.:Магистр, НИЦ ИНФРА-М,2021.-160 с.(П)</t>
  </si>
  <si>
    <t>НОРМАТИВНОЕ РЕГУЛИРОВАНИЕ БУХГАЛТЕРСКОГО УЧЕТА</t>
  </si>
  <si>
    <t>Шахбанов Р.Б.</t>
  </si>
  <si>
    <t>978-5-9776-0535-9</t>
  </si>
  <si>
    <t>640484.02.01</t>
  </si>
  <si>
    <t>Обеспечение стоимостного прироста фин.ресурсов...: Моногр. / П.А.Левчаев-М.:НИЦ ИНФРА-М,2020-229с(П)</t>
  </si>
  <si>
    <t>ОБЕСПЕЧЕНИЕ СТОИМОСТНОГО ПРИРОСТА ФИНАНСОВЫХ РЕСУРСОВ ЭКОНОМИЧЕСКИХ СУБЪЕКТОВ В УСЛОВИЯХ ИННОВАЦИОННОЙ ЭКОНОМИКИ: ТЕОРИЯ И МЕТОДОЛОГИЯ ИССЛЕДОВАНИЯ</t>
  </si>
  <si>
    <t>Левчаев П.А.</t>
  </si>
  <si>
    <t>978-5-16-012431-5</t>
  </si>
  <si>
    <t>345300.11.01</t>
  </si>
  <si>
    <t>Общественное питание: учет и калькулиров..: Уч.пос. /А.М.Петров -4изд -М.:КУРС,НИЦ ИНФРА-М,2024-270с</t>
  </si>
  <si>
    <t>ОБЩЕСТВЕННОЕ ПИТАНИЕ: УЧЕТ И КАЛЬКУЛИРОВАНИЕ СЕБЕСТОИМОСТИ. 4-Е ИЗД., ПЕРЕРАБ. И ДОП., ИЗД.4</t>
  </si>
  <si>
    <t>А.М.Петров</t>
  </si>
  <si>
    <t>978-5-906923-72-1</t>
  </si>
  <si>
    <t>19.03.04, 38.04.07, 38.04.01, 38.04.08, 38.04.06, 38.04.02, 38.04.05, 19.04.04, 38.03.01, 38.03.05, 38.03.06, 38.03.07, 38.03.02</t>
  </si>
  <si>
    <t>0418</t>
  </si>
  <si>
    <t>345300.04.01</t>
  </si>
  <si>
    <t>Общественное питание: учет и калькулирование..: Уч.пос. /А.М.Петров -3изд -М.:КУРС,НИЦ ИНФРА-М,2018-270с</t>
  </si>
  <si>
    <t>ОБЩЕСТВЕННОЕ ПИТАНИЕ: УЧЕТ И КАЛЬКУЛИРОВАНИЕ СЕБЕСТОИМОСТИ, ИЗД.3</t>
  </si>
  <si>
    <t>978-5-905554-87-2</t>
  </si>
  <si>
    <t>104700.10.01</t>
  </si>
  <si>
    <t>Операции сбер. банков: Уч. пос. / О.М. Маркова - 2 изд. - ИД ФОРУМ: НИЦ ИНФРА-М, 2023 -288с.(ПО)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</si>
  <si>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</si>
  <si>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</si>
  <si>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</si>
  <si>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</si>
  <si>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410150.04.01</t>
  </si>
  <si>
    <t>Оптимизационные модели упр. фин.ресурсами..: Моногр. /А.В.Мищенко -М.:ИЦ РИОР,НИЦ ИНФРА-М,2019-337с(О)</t>
  </si>
  <si>
    <t>ОПТИМИЗАЦИОННЫЕ МОДЕЛИ УПРАВЛЕНИЯ ФИНАНСОВЫМИ РЕСУРСАМИ ПРЕДПРИЯТИЯ</t>
  </si>
  <si>
    <t>Мищенко А. В., Виноградова Е. В.</t>
  </si>
  <si>
    <t>978-5-369-01152-2</t>
  </si>
  <si>
    <t>38.04.01, 38.04.08, 38.04.02, 38.03.01, 38.03.02, 44.03.01, 41.03.06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</si>
  <si>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</si>
  <si>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</si>
  <si>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</si>
  <si>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978-5-16-015118-2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</si>
  <si>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</si>
  <si>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</si>
  <si>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</si>
  <si>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</si>
  <si>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</si>
  <si>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</si>
  <si>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</si>
  <si>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181500.09.01</t>
  </si>
  <si>
    <t>Организация деятельности коммерч. банка: Уч / Под ред. Е.А.Звоновой -М:НИЦ Инфра-М,2024 - 632с.(ВО) (п)</t>
  </si>
  <si>
    <t>Звонова Е. А., Белецкий М. А., Богачева М. Ю., Дадашева О. Ю., Звонова Е. А.</t>
  </si>
  <si>
    <t>978-5-16-005404-9</t>
  </si>
  <si>
    <t>Рекомендовано УМО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080100 "Экономика" (квалификация (степень) "бакалавр")</t>
  </si>
  <si>
    <t>410250.09.01</t>
  </si>
  <si>
    <t>Организация деятельности центрального банка: Уч. /Е.А.Звонова - М.: НИЦ Инфра-М, 2023-400с.(ВО) (п)</t>
  </si>
  <si>
    <t>ОРГАНИЗАЦИЯ ДЕЯТЕЛЬНОСТИ ЦЕНТРАЛЬНОГО БАНКА</t>
  </si>
  <si>
    <t>Звонова Е. А., Акопов В. С., Домащенко Д. В., Звонова Е. А.</t>
  </si>
  <si>
    <t>978-5-16-006000-2</t>
  </si>
  <si>
    <t>38.04.08, 38.03.01, 44.03.05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</si>
  <si>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«Экономика». Квалификация (</t>
  </si>
  <si>
    <t>748107.01.01</t>
  </si>
  <si>
    <t>Организация и методика риск-ориентир. аудита в туризме: Уч.пос. / В.Д.Андреев-М.:Магистр, НИЦ ИНФРА-М,2021.-392 с.(П)</t>
  </si>
  <si>
    <t>ОРГАНИЗАЦИЯ И МЕТОДИКА РИСК-ОРИЕНТИРОВАННОГО АУДИТА В ТУРИЗМЕ</t>
  </si>
  <si>
    <t>978-5-9776-0527-4</t>
  </si>
  <si>
    <t>43.03.02, 43.04.02, 38.03.01</t>
  </si>
  <si>
    <t>703980.02.01</t>
  </si>
  <si>
    <t>Организация кредитной работы: Уч. / А.А.Казимагомедов - М.:НИЦ ИНФРА-М,2023 - 198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</si>
  <si>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</si>
  <si>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</si>
  <si>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</si>
  <si>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189400.06.01</t>
  </si>
  <si>
    <t>Организация кредитования в комм. банке: Уч. пос. / Н.В.Горелая - ИД ФОРУМ: НИЦ Инфра-М, 2022-208с.(ВО) (П)</t>
  </si>
  <si>
    <t>ОРГАНИЗАЦИЯ КРЕДИТОВАНИЯ В КОММЕРЧЕСКОМ БАНКЕ</t>
  </si>
  <si>
    <t>Горелая Н. В.</t>
  </si>
  <si>
    <t>978-5-8199-0519-7</t>
  </si>
  <si>
    <t>Рекомендовано УМО в области экономики и менеджмента в качестве учебного пособия для студентов высших учебных заведений, обуч. по направлению подготовки бакалавров и магистров для напр. 080100 "Экономика" спец. "Банки и банк. деятельность"</t>
  </si>
  <si>
    <t>Национальный исследовательский университет "Высшая школа экономики", ф-л Санкт-Петербург</t>
  </si>
  <si>
    <t>684823.03.01</t>
  </si>
  <si>
    <t>Организация кредитования в коммерч. банке: Уч.пос./Н.В.Горелая-М.:ИД ФОРУМ, НИЦ ИНФРА-М,2023-208с(П)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</si>
  <si>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</si>
  <si>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</si>
  <si>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</si>
  <si>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640618.05.01</t>
  </si>
  <si>
    <t>Основные вопр.теор.сов.фин.права: Моногр. / Е.А.Ровинский-2изд-М.:Юр.Норма,НИЦ ИНФРА-М,2023-176(П)</t>
  </si>
  <si>
    <t>ОСНОВНЫЕ ВОПРОСЫ ТЕОРИИ СОВЕТСКОГО ФИНАНСОВОГО ПРАВА, ИЗД.2</t>
  </si>
  <si>
    <t>Ровинский Е.А.</t>
  </si>
  <si>
    <t>Наше наследие</t>
  </si>
  <si>
    <t>978-5-91768-766-7</t>
  </si>
  <si>
    <t>40.03.01, 44.03.05</t>
  </si>
  <si>
    <t>796669.01.01</t>
  </si>
  <si>
    <t>Основы анализа бух. (финанс.) отчет. компании: Уч. / Под ред. Казаковой Н.А.-М.:НИЦ ИНФРА-М,2024.-314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</si>
  <si>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</si>
  <si>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</si>
  <si>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</si>
  <si>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773005.01.01</t>
  </si>
  <si>
    <t>Основы анализа бухгалтерской отчетности: Уч. / Ю.И.Сигидов-М.:НИЦ ИНФРА-М,2023.-265 с.(СПО)(П)</t>
  </si>
  <si>
    <t>ОСНОВЫ АНАЛИЗА БУХГАЛТЕРСКОЙ ОТЧЕТНОСТИ</t>
  </si>
  <si>
    <t>978-5-16-017534-8</t>
  </si>
  <si>
    <t>38.02.04, 38.02.06, 38.02.01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</si>
  <si>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</si>
  <si>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797697.01.01</t>
  </si>
  <si>
    <t>Основы анализа бухгалтерской отчетности: Уч.пос. / Н.А.Грачева.-М.:НИЦ ИНФРА-М,2023.-220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</si>
  <si>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</si>
  <si>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</si>
  <si>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</si>
  <si>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217200.09.01</t>
  </si>
  <si>
    <t>Основы аудита: Уч. пос. / Е.А. Кыштымова - М.: ИД ФОРУМ:НИЦ ИНФРА-М, 2023 - 224 с.(ВО) (П)</t>
  </si>
  <si>
    <t>ОСНОВЫ АУДИТА</t>
  </si>
  <si>
    <t>978-5-8199-0558-6</t>
  </si>
  <si>
    <t>38.02.01, 38.02.03, 38.04.09, 38.04.07, 38.04.01, 38.04.08, 38.04.06, 38.04.02, 38.04.03, 38.04.04, 38.04.05, 38.05.01, 38.05.02, 38.03.01, 38.03.05, 38.03.06, 38.03.07, 38.03.02, 38.03.04, 38.03.03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</si>
  <si>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</si>
  <si>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</si>
  <si>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</si>
  <si>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</si>
  <si>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</si>
  <si>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</si>
  <si>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094450.12.01</t>
  </si>
  <si>
    <t>Основы банковского аудита: Уч.пос. / Е.Б.Герасимова - 2 изд. -М.:Форум,НИЦ ИНФРА-М,2019-216с(СПО)(О)</t>
  </si>
  <si>
    <t>ОСНОВЫ БАНКОВСКОГО АУДИТА, ИЗД.2</t>
  </si>
  <si>
    <t>Герасимова Е. Б., Мельник М. В.</t>
  </si>
  <si>
    <t>978-5-00091-142-6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</si>
  <si>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</si>
  <si>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077200.12.01</t>
  </si>
  <si>
    <t>Основы банковского дела: Уч. / В.А.Галанов - 2 изд. - М.:Форум,2022 - 286 с.-(СПО)(П)</t>
  </si>
  <si>
    <t>ОСНОВЫ БАНКОВСКОГО ДЕЛА, ИЗД.2</t>
  </si>
  <si>
    <t>Галанов В. А.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</si>
  <si>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</si>
  <si>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</si>
  <si>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058100.13.01</t>
  </si>
  <si>
    <t>Основы банковского дела: Уч. / Е.Б.Стародубцева -  2 изд. - М.:ИД ФОРУМ, НИЦ ИНФРА-М,2023 - 288с(СПО)(П)</t>
  </si>
  <si>
    <t>978-5-8199-0819-8</t>
  </si>
  <si>
    <t>764199.02.01</t>
  </si>
  <si>
    <t>Основы банковского дела: Уч.пос. / В.А.Кашин - 2 изд. - М.:Магистр, НИЦ ИНФРА-М,2022 - 124 с.(О)</t>
  </si>
  <si>
    <t>Кашин В.А., Кашин С.В.</t>
  </si>
  <si>
    <t>978-5-9776-0533-5</t>
  </si>
  <si>
    <t>252600.05.01</t>
  </si>
  <si>
    <t>Основы банковского дела: Уч.пос. / Н.А.Агеева - 2 изд. - М.:ИЦ РИОР,НИЦ ИНФРА-М,2022 - 274 с.(ВО)(О)</t>
  </si>
  <si>
    <t>Агеева Н.А.</t>
  </si>
  <si>
    <t>978-5-369-01780-7</t>
  </si>
  <si>
    <t>422100.06.01</t>
  </si>
  <si>
    <t>Основы банковского дела: Уч.пос./ Н.В.Горелая, А.М.Карминский-М.:ИД ФОРУМ:НИЦ Инфра-М,2023-272с.(ВО) (п)</t>
  </si>
  <si>
    <t>ОСНОВЫ БАНКОВСКОГО ДЕЛА</t>
  </si>
  <si>
    <t>Горелая Н. В., Карминский А. М.</t>
  </si>
  <si>
    <t>978-5-8199-0534-0</t>
  </si>
  <si>
    <t>094820.10.01</t>
  </si>
  <si>
    <t>Основы банковского дела: Учебное пос. / Под ред. Г.Г. Коробовой. - М.: Магистр, 2024. - 446 с. (п)</t>
  </si>
  <si>
    <t>Коробова Г. Г., Коробов Ю. И.</t>
  </si>
  <si>
    <t>978-5-9776-0053-8</t>
  </si>
  <si>
    <t>38.02.07, 38.03.01</t>
  </si>
  <si>
    <t>0108</t>
  </si>
  <si>
    <t>252600.02.01</t>
  </si>
  <si>
    <t>Основы банковского дела:Уч.пос. / Н.А.Агеева-М.:ИЦ РИОР, НИЦ ИНФРА-М,2017.-274 с..-(ВО: Бакалавриат)(О. КБС)</t>
  </si>
  <si>
    <t>978-5-369-01285-7</t>
  </si>
  <si>
    <t>354500.03.01</t>
  </si>
  <si>
    <t>Основы бухгалтерского учета (краткие) / К.Ю.Цыганков - М.: Магистр, НИЦ ИНФРА-М, 2023 - 152 с (о)</t>
  </si>
  <si>
    <t>ОСНОВЫ БУХГАЛТЕРСКОГО УЧЕТА (КРАТКИЕ)</t>
  </si>
  <si>
    <t>Цыганков К.Ю.</t>
  </si>
  <si>
    <t>978-5-9776-0361-4</t>
  </si>
  <si>
    <t>709010.03.01</t>
  </si>
  <si>
    <t>Основы бухгалтерского учета (основы теории...): Уч. / А.Н.Кизилов - М.:НИЦ ИНФРА-М,2023 - 292 с.(ВО)(П)</t>
  </si>
  <si>
    <t>ОСНОВЫ БУХГАЛТЕРСКОГО УЧЕТА (ОСНОВЫ ТЕОРИИ, ХОЗЯЙСТВЕННЫЕ СИТУАЦИИ, ТЕСТЫ)</t>
  </si>
  <si>
    <t>978-5-16-015402-2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</si>
  <si>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 (протокол № 2 от 17.02.2021)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</si>
  <si>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</si>
  <si>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</si>
  <si>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</si>
  <si>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Среднее профессиональное образование (КрГАУ)</t>
  </si>
  <si>
    <t>978-5-16-014313-2</t>
  </si>
  <si>
    <t>38.02.04, 40.02.01, 38.02.06, 38.02.01, 38.02.02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</si>
  <si>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</si>
  <si>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768027.01.01</t>
  </si>
  <si>
    <t>Основы бухгалтерского учета: Уч. / Ю.И.Сигидов, - 2-е изд.-М.:НИЦ ИНФРА-М,2023.-491 с.(ВО)(п)</t>
  </si>
  <si>
    <t>ОСНОВЫ БУХГАЛТЕРСКОГО УЧЕТА, ИЗД.2</t>
  </si>
  <si>
    <t>Сигидов Ю.И.</t>
  </si>
  <si>
    <t>978-5-16-017397-9</t>
  </si>
  <si>
    <t>00.03.13, 38.03.01</t>
  </si>
  <si>
    <t>699267.03.01</t>
  </si>
  <si>
    <t>Основы интегрированного риск-ориентиров..:Уч.пос. / В.Д.Андреев-М.:Магистр, НИЦ ИНФРА-М,2023-368с(П)</t>
  </si>
  <si>
    <t>ОСНОВЫ ИНТЕГРИРОВАННОГО РИСК-ОРИЕНТИРОВАННОГО ВНУТРЕННЕГО КОНТРОЛЯ И АУДИТА ХОЗЯЙСТВУЮЩИХ СУБЪЕКТОВ</t>
  </si>
  <si>
    <t>978-5-9776-0493-2</t>
  </si>
  <si>
    <t>676794.02.01</t>
  </si>
  <si>
    <t>Основы корпоративных финансов: Уч.пос. / А.Ю.Рыманов - М.:НИЦ ИНФРА-М,2018 - 150 с.-(ВО)(О)</t>
  </si>
  <si>
    <t>ОСНОВЫ КОРПОРАТИВНЫХ ФИНАНСОВ</t>
  </si>
  <si>
    <t>Рыманов А.Ю.</t>
  </si>
  <si>
    <t>978-5-16-013614-1</t>
  </si>
  <si>
    <t>056500.12.01</t>
  </si>
  <si>
    <t>Основы национального счетоводства: Уч. / Под ред. Иванова Ю.Н., - 3 изд.-М.:НИЦ ИНФРА-М,2024.-323 с.(ВО)(п)</t>
  </si>
  <si>
    <t>ОСНОВЫ НАЦИОНАЛЬНОГО СЧЕТОВОДСТВА (МЕЖДУНАРОДНЫЙ СТАНДАРТ), ИЗД.3</t>
  </si>
  <si>
    <t>Иванов Ю.Н., Воскобойников И.Б., Казаринова С.Е. и др.</t>
  </si>
  <si>
    <t>978-5-16-018280-3</t>
  </si>
  <si>
    <t>0324</t>
  </si>
  <si>
    <t>684135.02.01</t>
  </si>
  <si>
    <t>Основы финансового менеджмента: Уч.пос. / Л.Н.Коршунова-М.:НИЦ ИНФРА-М,2023.-228 с..-(ВО: Специалитет)(П)</t>
  </si>
  <si>
    <t>ОСНОВЫ ФИНАНСОВОГО МЕНЕДЖМЕНТА</t>
  </si>
  <si>
    <t>Коршунова Л.Н., Проданова Н.А., Зацаринная Е.И. и др.</t>
  </si>
  <si>
    <t>978-5-16-014466-5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</si>
  <si>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38.05.01 «Экономическая безопасность» (квалификация (степень) «экономист») (протокол № 12 от 24.06.2019)</t>
  </si>
  <si>
    <t>Национальный Исследовательский Технологический Университет "МИСИС"</t>
  </si>
  <si>
    <t>210200.06.01</t>
  </si>
  <si>
    <t>Основы финансового мониторинга: Уч. пос./ Е.Г.Попкова - М.: ИНФРА-М, 2024 - 166 с. (ВО: Бакалавриат) (о)</t>
  </si>
  <si>
    <t>ОСНОВЫ ФИНАНСОВОГО МОНИТОРИНГА</t>
  </si>
  <si>
    <t>Попкова Е. Г., Акимова О. Е., Попкова Е. Г.</t>
  </si>
  <si>
    <t>978-5-16-006839-8</t>
  </si>
  <si>
    <t>38.04.01, 38.04.08, 38.05.01, 38.03.01</t>
  </si>
  <si>
    <t>Рекомендовано  федеральным государственным бюджетным образовательным учреждением высшего профессионального образования "Государственный университет управления» в качестве учебного пособия для студентов высших учебных заведений. обучающихся по направл</t>
  </si>
  <si>
    <t>Волгоградский государственный технический университет</t>
  </si>
  <si>
    <t>766866.01.01</t>
  </si>
  <si>
    <t>Основы финансовой грамотности: Уч. / Н.Г.Гаджиев.-М.:НИЦ ИНФРА-М,2023.-245 с.(ВО: Бакалавр.)(п)</t>
  </si>
  <si>
    <t>ОСНОВЫ ФИНАНСОВОЙ ГРАМОТНОСТИ</t>
  </si>
  <si>
    <t>Гаджиев Н.Г., Коноваленко С.А., Скрипкина О.В. и др.</t>
  </si>
  <si>
    <t>978-5-16-017498-3</t>
  </si>
  <si>
    <t>00.03.13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</si>
  <si>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основным образовательным программам высшего образования по направлениям подготовки бакалавриата</t>
  </si>
  <si>
    <t>732931.06.01</t>
  </si>
  <si>
    <t>Основы финансовой грамотности: Уч.пос. / Под ред. Кальней В.А. - М.:НИЦ ИНФРА-М,2024 - 248 с.(СПО)(П)</t>
  </si>
  <si>
    <t>Кальней В.А., Рогулина М.Р., Овсянникова Т.В. и др.</t>
  </si>
  <si>
    <t>978-5-16-016198-3</t>
  </si>
  <si>
    <t>21.02.08, 26.02.03, 26.02.05, 26.02.06, 19.02.03, 38.02.01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</si>
  <si>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</si>
  <si>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634038.03.01</t>
  </si>
  <si>
    <t>Основы финансовых вычислений: Уч.пос. / Г.В.Кузнецов-М.:НИЦ ИНФРА-М,2021.-407 с.(ВО: Бакалавр.)(П)</t>
  </si>
  <si>
    <t>ОСНОВЫ ФИНАНСОВЫХ ВЫЧИСЛЕНИЙ</t>
  </si>
  <si>
    <t>Кузнецов Г.В., Кочетыгов А.А.</t>
  </si>
  <si>
    <t>978-5-16-012094-2</t>
  </si>
  <si>
    <t>01.04.02, 38.04.01, 38.04.08, 38.04.02, 38.04.05, 01.03.02, 38.03.01, 38.03.05, 38.03.02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</si>
  <si>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«Менеджмент», 38.03.05 «Бизнес-информатика» (квалификация (степень) «бакалавр»)</t>
  </si>
  <si>
    <t>Финансовый университет при Правительстве Российской Федерации, Тульский ф-л</t>
  </si>
  <si>
    <t>719464.02.01</t>
  </si>
  <si>
    <t>Особенности учета в торговле и общ. питании: Уч.пос. / Н.А.Качан - 2 изд. - М.:НИЦ ИНФРА-М,2022 - 167 с(П)(СПО)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</si>
  <si>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</si>
  <si>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</si>
  <si>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</si>
  <si>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38.02.01, 19.03.04, 38.03.01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</si>
  <si>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</si>
  <si>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466550.05.01</t>
  </si>
  <si>
    <t>Ответственность за наруш. фин.: Науч.-практ.пос. /Под ред. Кучерова И.И.-М.:НИЦ ИНФРА-М,2019-225с(О)</t>
  </si>
  <si>
    <t>ОТВЕТСТВЕННОСТЬ ЗА НАРУШЕНИЕ ФИНАНСОВОГО ЗАКОНОДАТЕЛЬСТВА</t>
  </si>
  <si>
    <t>Кучеров И. И., Абросимов Р. Ю., Акопян О. А., Буркавцова Я. В., Кучеров И. И.</t>
  </si>
  <si>
    <t>978-5-16-009769-5</t>
  </si>
  <si>
    <t>Научно-практическое пособие</t>
  </si>
  <si>
    <t>675395.04.01</t>
  </si>
  <si>
    <t>Ответственность за наруш.финанс.законодат.: Уч.пос./ А.А.Ситник - М.:Юр.Норма,НИЦ ИНФРА-М,2023 -112с</t>
  </si>
  <si>
    <t>Ситник А.А., Горлова Е.Н., Соболь О.С.</t>
  </si>
  <si>
    <t>978-5-91768-888-6</t>
  </si>
  <si>
    <t>40.05.04, 40.03.01, 40.05.01, 40.05.02, 40.05.03, 38.05.01</t>
  </si>
  <si>
    <t>342800.04.01</t>
  </si>
  <si>
    <t>Оценка биологических активов молочного скотоводства...: Моногр./Ю.И.Сигидов-М.:НИЦ ИНФРА-М,2023-160с</t>
  </si>
  <si>
    <t>ОЦЕНКА БИОЛОГИЧЕСКИХ АКТИВОВ МОЛОЧНОГО СКОТОВОДСТВА ПО СПРАВЕДЛИВОЙ СТОИМОСТИ</t>
  </si>
  <si>
    <t>Ю.И.Сигидов, М.А.Коровина</t>
  </si>
  <si>
    <t>978-5-16-010768-4</t>
  </si>
  <si>
    <t>35.03.07, 38.03.01</t>
  </si>
  <si>
    <t>773693.02.01</t>
  </si>
  <si>
    <t>Оценка и управление стоимостью предпр.: Уч.пос. / Ю.В.Вертакова - М.:НИЦ ИНФРА-М,2023 - 175 с.(ВО)(П)</t>
  </si>
  <si>
    <t>ОЦЕНКА И УПРАВЛЕНИЕ СТОИМОСТЬЮ ПРЕДПРИЯТИЯ</t>
  </si>
  <si>
    <t>Вертакова Ю.В., Пирогова О.Е., Плотников В.А.</t>
  </si>
  <si>
    <t>978-5-16-017556-0</t>
  </si>
  <si>
    <t>00.03.13, 38.04.02, 38.03.02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</si>
  <si>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10 от 15.12.2021)</t>
  </si>
  <si>
    <t>660860.04.01</t>
  </si>
  <si>
    <t>Оценка имущества: материал. и..: Уч.пос. / И.Г.Кукукина- 2 изд.-М.:НИЦ ИНФРА-М,2024.-190 с.(ВО)(п)</t>
  </si>
  <si>
    <t>ОЦЕНКА ИМУЩЕСТВА: МАТЕРИАЛЬНЫЕ И НЕМАТЕРИАЛЬНЫЕ АКТИВЫ, БИЗНЕС, ИЗД.2</t>
  </si>
  <si>
    <t>Кукукина И.Г., Мошкарина М.В.</t>
  </si>
  <si>
    <t>978-5-16-019120-1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</si>
  <si>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8 от 22.06.2020)</t>
  </si>
  <si>
    <t>136100.08.01</t>
  </si>
  <si>
    <t>Оценка машин и оборудования: Уч. / Под ред. Федотовой М.А. - 2 изд.-М.:НИЦ ИНФРА-М,2024-324 с.(ВО)(П)</t>
  </si>
  <si>
    <t>ОЦЕНКА МАШИН И ОБОРУДОВАНИЯ, ИЗД.2</t>
  </si>
  <si>
    <t>Федотова М.А., Ковалев А.П., Кушель А.А. и др.</t>
  </si>
  <si>
    <t>978-5-16-018916-1</t>
  </si>
  <si>
    <t>131700.09.01</t>
  </si>
  <si>
    <t>Оценка объектов недвижимости: Уч. / А.А.Варламов - 3 изд.-М.:НИЦ ИНФРА-М,2023.-320 с.(ВО)(П)</t>
  </si>
  <si>
    <t>ОЦЕНКА ОБЪЕКТОВ НЕДВИЖИМОСТИ, ИЗД.3</t>
  </si>
  <si>
    <t>Варламов А.А., Комаров С.И., Варламов А.А.</t>
  </si>
  <si>
    <t>978-5-16-016316-1</t>
  </si>
  <si>
    <t>21.04.02, 21.03.02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</si>
  <si>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21.03.02 «Землеустройство и кадастры» (квалификация (степень) «бакалавр») (протокол № 9 от 17.11.2022)</t>
  </si>
  <si>
    <t>Государственный университет по землеустройству</t>
  </si>
  <si>
    <t>131700.08.01</t>
  </si>
  <si>
    <t>Оценка объектов недвижимости: Уч. /А.А.Варламов - 2 изд. - М.:НИЦ ИНФРА-М,2019-352с(ВО:Бакалавр.)(П)</t>
  </si>
  <si>
    <t>ОЦЕНКА ОБЪЕКТОВ НЕДВИЖИМОСТИ, ИЗД.2</t>
  </si>
  <si>
    <t>978-5-16-015344-5</t>
  </si>
  <si>
    <t>Рекомендовано Учебно-методическим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заведений, обучающихся по направлению подготовки 21.03.02 «Землеустройство и кадастры»</t>
  </si>
  <si>
    <t>652970.07.01</t>
  </si>
  <si>
    <t>Оценка стоимости немат. активов и интел. собст.: Уч. / М.А.Федотова., -2 изд.,-М.:НИЦ ИНФРА-М,2024-359с(ВО)(п)</t>
  </si>
  <si>
    <t>ОЦЕНКА СТОИМОСТИ НЕМАТЕРИАЛЬНЫХ АКТИВОВ И ИНТЕЛЛЕКТУАЛЬНОЙ СОБСТВЕННОСТИ, ИЗД.2</t>
  </si>
  <si>
    <t>Федотова М.А., Леонтьев Б.Б., Мамаджанов Х.А. и др.</t>
  </si>
  <si>
    <t>978-5-16-018938-3</t>
  </si>
  <si>
    <t>27.04.07, 38.04.01, 38.03.01</t>
  </si>
  <si>
    <t>652970.03.01</t>
  </si>
  <si>
    <t>Оценка стоимости немат. активов и интел. собст.: Уч./ Под ред.Федотовой М.А.-М:НИЦ ИНФРА-М,2019-352с</t>
  </si>
  <si>
    <t>ОЦЕНКА СТОИМОСТИ НЕМАТЕРИАЛЬНЫХ АКТИВОВ И ИНТЕЛЛЕКТУАЛЬНОЙ СОБСТВЕННОСТИ</t>
  </si>
  <si>
    <t>978-5-16-013264-8</t>
  </si>
  <si>
    <t>411650.06.01</t>
  </si>
  <si>
    <t>Оценка стоимости нематериальных активов и интеллект...: Уч. пос./Н.Я.Кузин - М:ИНФРА-М,2023-160с.</t>
  </si>
  <si>
    <t>Кузин Н.Я., Учинина Т.В., Толстых Ю.О.</t>
  </si>
  <si>
    <t>978-5-16-005650-0</t>
  </si>
  <si>
    <t>08.03.01, 38.04.01, 38.03.01</t>
  </si>
  <si>
    <t>Рекомендовано фед. гос. бюджетным образовательным учреждением высшего профессионального образования «Московский государственный строительный университет (МГСУ)» в качестве учебного пособия для студентов ВПО, обучающихся по программе бакалавриата по н</t>
  </si>
  <si>
    <t>690235.02.01</t>
  </si>
  <si>
    <t>Оценка стоимости прав требования...: Уч.пос. / В.Ю.Сутягин-М.:НИЦ ИНФРА-М,2023.-253 с.(ВО)(П)</t>
  </si>
  <si>
    <t>ОЦЕНКА СТОИМОСТИ ПРАВ ТРЕБОВАНИЯ (ДЕБИТОРСКОЙ ЗАДОЛЖЕННОСТИ): ТЕОРИЯ И ПРАКТИКА</t>
  </si>
  <si>
    <t>Сутягин В.Ю.</t>
  </si>
  <si>
    <t>978-5-16-014969-1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</si>
  <si>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направлениям подготовки 38.04.01 «Экономика», 38.04.08 «Финансы и кредит» (квалификация (степень) «магистр») (протокол № 5 от 26.03.2020)</t>
  </si>
  <si>
    <t>072370.10.01</t>
  </si>
  <si>
    <t>Оценка эффективности инвестиционных проектов: Уч. пос. / А.С. Волков -  РИОР, 2022 - 111 с. (О, к/ф)</t>
  </si>
  <si>
    <t>ОЦЕНКА ЭФФЕКТИВНОСТИ ИНВЕСТИЦИОННЫХ ПРОЕКТОВ</t>
  </si>
  <si>
    <t>Волков А. С., Марченко А. А.</t>
  </si>
  <si>
    <t>978-5-369-00901-7</t>
  </si>
  <si>
    <t>724721.02.01</t>
  </si>
  <si>
    <t>Первичная учетная документация: Уч. / Ю.И.Сигидов - М.:НИЦ ИНФРА-М,2023 - 345 с.(ВО: Бакалавр.)(П)</t>
  </si>
  <si>
    <t>ПЕРВИЧНАЯ УЧЕТНАЯ ДОКУМЕНТАЦИЯ</t>
  </si>
  <si>
    <t>Сигидов Ю.И., Калашникова Е.В., Хорольская Т.Е. и др.</t>
  </si>
  <si>
    <t>978-5-16-016003-0</t>
  </si>
  <si>
    <t>763153.03.01</t>
  </si>
  <si>
    <t>Первичная учетная документация: Уч. / Ю.И.Сигидов - М.:НИЦ ИНФРА-М,2024 - 345 с.(СПО)(П)</t>
  </si>
  <si>
    <t>978-5-16-017100-5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</si>
  <si>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</si>
  <si>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704441.02.01</t>
  </si>
  <si>
    <t>Персональные финансы: Уч. / В.А.Слепов - М.:Магистр, НИЦ ИНФРА-М, 2022 - 240 с.(П)</t>
  </si>
  <si>
    <t>ПЕРСОНАЛЬНЫЕ ФИНАНСЫ</t>
  </si>
  <si>
    <t>Слепов В.А., Бондарева С.А.</t>
  </si>
  <si>
    <t>978-5-9776-0498-7</t>
  </si>
  <si>
    <t>684750.03.01</t>
  </si>
  <si>
    <t>Повышение доступ.и платеж. услуг за счет разв..: Моногр. / Криворучко С.В.-М.:НИЦ ИНФРА-М,2023-157с.</t>
  </si>
  <si>
    <t>ПОВЫШЕНИЕ ДОСТУПНОСТИ ПЛАТЕЖНЫХ УСЛУГ ЗА СЧЕТ РАЗВИТИЯ СИСТЕМ ИДЕНТИФИКАЦИИ ПОЛЬЗОВАТЕЛЕЙ</t>
  </si>
  <si>
    <t>Криворучко С.В., Пономаренко В.Е., Лопатин В.А. и др.</t>
  </si>
  <si>
    <t>978-5-16-014260-9</t>
  </si>
  <si>
    <t>38.04.01, 38.04.08, 38.04.02, 38.03.01</t>
  </si>
  <si>
    <t>775346.02.01</t>
  </si>
  <si>
    <t>Поливалютный стандарт и мировой финанс. рынок: Моногр. / П.В.Алексеев.-М.:НИЦ ИНФРА-М,2024.-208 с.(О)</t>
  </si>
  <si>
    <t>ПОЛИВАЛЮТНЫЙ СТАНДАРТ И МИРОВОЙ ФИНАНСОВЫЙ РЫНОК</t>
  </si>
  <si>
    <t>Алексеев П.В., Антропов В.В., Барабанов В.Ю. и др.</t>
  </si>
  <si>
    <t>978-5-16-017746-5</t>
  </si>
  <si>
    <t>41.04.05, 38.04.01, 38.06.01</t>
  </si>
  <si>
    <t>305600.05.01</t>
  </si>
  <si>
    <t>Политика фин.стабильности: международный опыт:Моногр./ В.В.Кузнецова-М.:КУРС,НИЦ ИНФРА-М,2018-224с</t>
  </si>
  <si>
    <t>ПОЛИТИКА ФИНАНСОВОЙ СТАБИЛЬНОСТИ: МЕЖДУНАРОДНЫЙ ОПЫТ</t>
  </si>
  <si>
    <t>Кузнецова В.В.</t>
  </si>
  <si>
    <t>978-5-906818-64-5</t>
  </si>
  <si>
    <t>38.04.09, 38.04.08, 38.04.05, 38.03.05</t>
  </si>
  <si>
    <t>743083.02.01</t>
  </si>
  <si>
    <t>Получатели ренты: прибыли, заработки и неравенство (верхние 20%): Моногр. / П.Михайи-М.:Магистр,2020-176 с.(П)</t>
  </si>
  <si>
    <t>ПОЛУЧАТЕЛИ РЕНТЫ: ПРИБЫЛИ, ЗАРАБОТКИ И НЕРАВЕНСТВО (ВЕРХНИЕ 20%)</t>
  </si>
  <si>
    <t>Михайи П., Селеньи И.</t>
  </si>
  <si>
    <t>978-5-9776-0518-2</t>
  </si>
  <si>
    <t>214200.05.01</t>
  </si>
  <si>
    <t>Право денежного обращения: Курс лекций / И.И. Кучеров. - М.: Магистр:  НИЦ ИНФРА-М, 2022. - 256 с. (п)</t>
  </si>
  <si>
    <t>ПРАВО ДЕНЕЖНОГО ОБРАЩЕНИЯ</t>
  </si>
  <si>
    <t>Кучеров И. И.</t>
  </si>
  <si>
    <t>978-5-9776-0278-5</t>
  </si>
  <si>
    <t>38.02.07, 38.02.01, 38.02.03, 40.03.01, 38.04.09, 40.04.01, 38.04.01, 38.04.08, 38.03.01</t>
  </si>
  <si>
    <t>664199.02.01</t>
  </si>
  <si>
    <t>Правовое регул.расходов бюдж.субъекта РФ: Моногр. / А.Пятковская-М.:Юр.Норма, НИЦ ИНФРА-М,2019-288с.</t>
  </si>
  <si>
    <t>ПРАВОВОЕ РЕГУЛИРОВАНИЕ РАСХОДОВ БЮДЖЕТА СУБЪЕКТА РФ</t>
  </si>
  <si>
    <t>Пятковская А.</t>
  </si>
  <si>
    <t>978-5-91768-852-7</t>
  </si>
  <si>
    <t>670770.04.01</t>
  </si>
  <si>
    <t>Правовое регулир. аудит. деят.: Уч.пос. / Е.Ю.Грачева - 2 изд.-М.:Юр. НОРМА, НИЦ ИНФРА-М,2024.-144с(П)</t>
  </si>
  <si>
    <t>ПРАВОВОЕ РЕГУЛИРОВАНИЕ АУДИТОРСКОЙ ДЕЯТЕЛЬНОСТИ, ИЗД.2</t>
  </si>
  <si>
    <t>Грачева Е.Ю., Арзуманова Л.Л., Лагкуева И.В. и др.</t>
  </si>
  <si>
    <t>978-5-00156-325-9</t>
  </si>
  <si>
    <t>40.05.04, 40.03.01, 38.04.09, 40.04.01, 38.04.01, 38.04.08, 38.04.02, 40.05.01, 40.05.02, 40.05.03, 38.05.01, 44.03.05</t>
  </si>
  <si>
    <t>636922.05.01</t>
  </si>
  <si>
    <t>Правовое регулир. денежного обращения: Моногр. / Н.М.Артемов -М.:Юр.Норма,НИЦ ИНФРА-М,2022-96с.(О)</t>
  </si>
  <si>
    <t>ПРАВОВОЕ РЕГУЛИРОВАНИЕ ДЕНЕЖНОГО ОБРАЩЕНИЯ (ДЕНЕЖНОЕ ПРАВО)</t>
  </si>
  <si>
    <t>Артемов Н.М., Лагутин И.Б., Ситник А.А. и др.</t>
  </si>
  <si>
    <t>978-5-91768-756-8</t>
  </si>
  <si>
    <t>38.04.01, 38.04.08, 38.06.01, 40.06.01, 44.03.05</t>
  </si>
  <si>
    <t>684235.03.01</t>
  </si>
  <si>
    <t>Правовое регулир. иностранных инвест. в экономике России.../ М.В.Мельничук.-М.:НИЦ ИНФРА-М,2021-138с(О)</t>
  </si>
  <si>
    <t>ПРАВОВОЕ РЕГУЛИРОВАНИЕ ИНОСТРАННЫХ ИНВЕСТИЦИЙ В ЭКОНОМИКЕ РОССИИ: ОПЫТ КИТАЯ</t>
  </si>
  <si>
    <t>Мельничук М.В., Демченко М.В., Ручкина Г.Ф. и др.</t>
  </si>
  <si>
    <t>978-5-16-016883-8</t>
  </si>
  <si>
    <t>40.03.01, 38.04.09, 38.04.08, 38.03.01, 38.03.02, 44.03.01, 44.03.05, 41.03.06</t>
  </si>
  <si>
    <t>682760.04.01</t>
  </si>
  <si>
    <t>Правовое регулир.бух.и налогового учета: Уч. / Н.Ю.Орлова - М.:Юр.Норма, НИЦ ИНФРА-М,2020 - 128с(О)</t>
  </si>
  <si>
    <t>ПРАВОВОЕ РЕГУЛИРОВАНИЕ БУХГАЛТЕРСКОГО И НАЛОГОВОГО УЧЕТА</t>
  </si>
  <si>
    <t>Орлова Н.Ю.</t>
  </si>
  <si>
    <t>978-5-91768-914-2</t>
  </si>
  <si>
    <t>40.05.04, 40.04.01, 38.04.01, 40.05.01, 40.05.02, 40.05.03</t>
  </si>
  <si>
    <t>700571.02.01</t>
  </si>
  <si>
    <t>Правовое регулиров.стратег. планиров.в сфере...: Моногр. / Е.В. Кудряшова - М.:НИЦ ИНФРА-М,2023-304с</t>
  </si>
  <si>
    <t>ПРАВОВОЕ РЕГУЛИРОВАНИЕ СТРАТЕГИЧЕСКОГО ПЛАНИРОВАНИЯ В СФЕРЕ ГОСУДАРСТВЕННЫХ ФИНАНСОВ</t>
  </si>
  <si>
    <t>Кудряшова Е.В.</t>
  </si>
  <si>
    <t>978-5-16-014732-1</t>
  </si>
  <si>
    <t>40.04.01, 38.04.01, 38.06.01, 40.06.01</t>
  </si>
  <si>
    <t>Сибирский университет потребительской кооперации</t>
  </si>
  <si>
    <t>670770.03.01</t>
  </si>
  <si>
    <t>Правовое регулирование аудиторской деят.: Уч.пос./ Е.Ю.Грачева-М.:Юр.Норма, НИЦ ИНФРА-М,2020-128с(О)</t>
  </si>
  <si>
    <t>ПРАВОВОЕ РЕГУЛИРОВАНИЕ АУДИТОРСКОЙ ДЕЯТЕЛЬНОСТИ</t>
  </si>
  <si>
    <t>978-5-91768-876-3</t>
  </si>
  <si>
    <t>632597.03.01</t>
  </si>
  <si>
    <t>Правовое регулирование бух.учета: Уч. / Отв. ред. Грачева Е.Ю.-М.:Юр.Норма, НИЦ ИНФРА-М,2019-320с(П)</t>
  </si>
  <si>
    <t>ПРАВОВОЕ РЕГУЛИРОВАНИЕ БУХГАЛТЕРСКОГО УЧЕТА</t>
  </si>
  <si>
    <t>Арзуманова Л.Л., Болтинова О.В., Бубнова О.Ю. и др.</t>
  </si>
  <si>
    <t>НОРМА</t>
  </si>
  <si>
    <t>40.05.04, 40.03.01, 40.05.01, 40.05.02, 40.05.03, 38.03.01, 44.03.05</t>
  </si>
  <si>
    <t>632597.05.01</t>
  </si>
  <si>
    <t>Правовое регулирование бух.учета: Уч./ Отв. ред. Грачева Е.Ю.-2изд.-М.:Юр.Норма, НИЦ ИНФРА-М,2024-336с(П)</t>
  </si>
  <si>
    <t>ПРАВОВОЕ РЕГУЛИРОВАНИЕ БУХГАЛТЕРСКОГО УЧЕТА, ИЗД.2</t>
  </si>
  <si>
    <t>978-5-00156-316-7</t>
  </si>
  <si>
    <t>692967.04.01</t>
  </si>
  <si>
    <t>Правовое регулирование финанс. контроля...: Уч. / Е.Ю.Грачева - 2 изд. - М.:Юр.Норма, НИЦ ИНФРА-М,2022-208с.(П)</t>
  </si>
  <si>
    <t>ПРАВОВОЕ РЕГУЛИРОВАНИЕ ФИНАНСОВОГО КОНТРОЛЯ. ВИДЫ, ФОРМЫ И МЕТОДЫ ФИНАНСОВОГО КОНТРОЛЯ И НАДЗОРА, ИЗД.2</t>
  </si>
  <si>
    <t>Грачева Е.Ю., Болтинова О.В.</t>
  </si>
  <si>
    <t>978-5-00156-224-5</t>
  </si>
  <si>
    <t>40.04.01</t>
  </si>
  <si>
    <t>692967.02.01</t>
  </si>
  <si>
    <t>Правовое регулирование финансового контроля...: Уч. / Е.Ю.Грачева-М.:Юр.Норма, НИЦ ИНФРА-М,2020-208с.(П)</t>
  </si>
  <si>
    <t>ПРАВОВОЕ РЕГУЛИРОВАНИЕ ФИНАНСОВОГО КОНТРОЛЯ. ВИДЫ, ФОРМЫ И МЕТОДЫ ФИНАНСОВОГО КОНТРОЛЯ И НАДЗОРА</t>
  </si>
  <si>
    <t>978-5-91768-964-7</t>
  </si>
  <si>
    <t>792935.01.01</t>
  </si>
  <si>
    <t>Правовое регулирование цифровой нац. платежной системы РФ: Уч.-М.:Юр. НОРМА, НИЦ ИНФРА-М,2023-248с.(П)</t>
  </si>
  <si>
    <t>ПРАВОВОЕ РЕГУЛИРОВАНИЕ ЦИФРОВОЙ НАЦИОНАЛЬНОЙ ПЛАТЕЖНОЙ СИСТЕМЫ РФ</t>
  </si>
  <si>
    <t>978-5-00156-276-4</t>
  </si>
  <si>
    <t>40.04.01, 38.04.01, 38.04.05, 10.05.04, 40.05.03</t>
  </si>
  <si>
    <t>717573.02.01</t>
  </si>
  <si>
    <t>Правовые аспекты бух. дела: теор. основы и...: Моногр. / М.Д.Акатьева-М.:НИЦ ИНФРА-М,2023.-147 с.(О)</t>
  </si>
  <si>
    <t>ПРАВОВЫЕ АСПЕКТЫ БУХГАЛТЕРСКОГО ДЕЛА: ТЕОРЕТИЧЕСКИЕ ОСНОВЫ И ПРАКТИЧЕСКАЯ РЕАЛИЗАЦИЯ</t>
  </si>
  <si>
    <t>978-5-16-015575-3</t>
  </si>
  <si>
    <t>40.04.01, 38.04.01, 38.04.02, 38.03.01, 38.03.02</t>
  </si>
  <si>
    <t>694254.01.01</t>
  </si>
  <si>
    <t>Правовые основы орг. взаимного страхов. в России...: Моногр. / В.М.Бартош - М.:НИЦ ИНФРА-М,2019-252с</t>
  </si>
  <si>
    <t>ПРАВОВЫЕ ОСНОВЫ ОРГАНИЗАЦИИ ВЗАИМНОГО СТРАХОВАНИЯ В РОССИИ: ПРОБЛЕМЫ ТЕОРИИ И ПРАКТИКИ</t>
  </si>
  <si>
    <t>Бартош В.М.</t>
  </si>
  <si>
    <t>978-5-16-014603-4</t>
  </si>
  <si>
    <t>718663.05.01</t>
  </si>
  <si>
    <t>Правовые средства обеспечения финансовой безоп.: Моногр. / И.И.Кучеров-М.:Юр.Норма, НИЦ ИНФРА-М,2022-240с(П)</t>
  </si>
  <si>
    <t>ПРАВОВЫЕ СРЕДСТВА ОБЕСПЕЧЕНИЯ ФИНАНСОВОЙ БЕЗОПАСНОСТИ</t>
  </si>
  <si>
    <t>Кучеров И.И., Поветкина Н.А.</t>
  </si>
  <si>
    <t>978-5-00156-022-7</t>
  </si>
  <si>
    <t>38.04.09, 40.04.01, 38.04.08</t>
  </si>
  <si>
    <t>682232.01.01</t>
  </si>
  <si>
    <t>Правоприменительная практика в области бюджета:: Моногр. / Х.В.Пешкова-М.:НИЦ ИНФРА-М,2022.-239 с.(Науч.мысль)(П)</t>
  </si>
  <si>
    <t>ПРАВОПРИМЕНИТЕЛЬНАЯ ПРАКТИКА В ОБЛАСТИ БЮДЖЕТА: ТЕОРЕТИКО-ПРАВОВЫЕ И СУДЕБНО-АРБИТРАЖНЫЕ АСПЕКТЫ</t>
  </si>
  <si>
    <t>Пешкова Х.В., Пачкун В.В.</t>
  </si>
  <si>
    <t>978-5-16-017084-8</t>
  </si>
  <si>
    <t>40.03.01, 40.04.01, 38.04.01, 38.04.08, 38.06.01, 40.06.01, 38.03.01, 38.03.04</t>
  </si>
  <si>
    <t>445500.06.01</t>
  </si>
  <si>
    <t>Практикум по анализу бух.(фин.) отчет.: Уч.пос. / С.В.Панкова - М.:ИЦ РИОР,НИЦ ИНФРА-М,2024 - 165 с.(ВО)(о)</t>
  </si>
  <si>
    <t>ПРАКТИКУМ ПО АНАЛИЗУ БУХГАЛТЕРСКОЙ (ФИНАНСОВОЙ) ОТЧЕТНОСТИ</t>
  </si>
  <si>
    <t>Панкова С.В., АндрееваТ.В., РомановаТ.В.</t>
  </si>
  <si>
    <t>978-5-369-01491-2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</si>
  <si>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«Экономика»</t>
  </si>
  <si>
    <t>Оренбургский государственный университет, ф-л Орский гуманитарно-технологический институт</t>
  </si>
  <si>
    <t>462700.03.01</t>
  </si>
  <si>
    <t>Практикум по бух. учету и анализу: Уч.пос. / М.В.Мельник - М.:Форум,НИЦ ИНФРА-М,2019-120с.(ВО)(о)</t>
  </si>
  <si>
    <t>ПРАКТИКУМ ПО БУХГАЛТЕРСКОМУ УЧЕТУ И АНАЛИЗУ</t>
  </si>
  <si>
    <t>978-5-00091-147-1</t>
  </si>
  <si>
    <t>051935.07.01</t>
  </si>
  <si>
    <t>Практикум по фин.менеджменту: технология..: Уч.пос./ В.А.Морошкин- 2изд.-М.:НИЦ ИНФРА-М,2017-120с(О)</t>
  </si>
  <si>
    <t>ПРАКТИКУМ ПО ФИНАНСОВОМУ МЕНЕДЖМЕНТУ: ТЕХНОЛОГИЯ ФИНАНСОВЫХ РАСЧЕТОВ С ПРОЦЕНТАМИ, ИЗД.2</t>
  </si>
  <si>
    <t>Морошкин В.А.</t>
  </si>
  <si>
    <t>978-5-16-012547-3</t>
  </si>
  <si>
    <t>38.04.09, 38.04.07, 25.04.04, 38.04.01, 38.04.08, 38.04.06, 38.04.02, 38.04.03, 38.04.04, 38.04.05, 38.05.01, 38.05.02, 38.03.01, 38.03.05, 38.03.06, 38.03.07, 38.03.02, 38.03.04, 38.03.03, 41.03.06</t>
  </si>
  <si>
    <t>Рекомендовано в качестве учебного пособия 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</si>
  <si>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051935.13.02</t>
  </si>
  <si>
    <t>Практикум по финанс. менеджменту: технология фин...: Уч.пос. / В.А.Морошкин - 3 изд.-М.:НИЦ ИНФРА-М,2024-131с.(О)</t>
  </si>
  <si>
    <t>ПРАКТИКУМ ПО ФИНАНСОВОМУ МЕНЕДЖМЕНТУ: ТЕХНОЛОГИЯ ФИНАНСОВЫХ РАСЧЕТОВ С ПРОЦЕНТАМИ, ИЗД.3</t>
  </si>
  <si>
    <t>Морошкин В. А., Сметанкин А.С.</t>
  </si>
  <si>
    <t>978-5-16-013070-5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</si>
  <si>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</si>
  <si>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</si>
  <si>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</si>
  <si>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</si>
  <si>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</si>
  <si>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</si>
  <si>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685001.03.01</t>
  </si>
  <si>
    <t>Практические основы бух. учета активов орг-ции: Уч. / Л.М.Белова - М.:НИЦ ИНФРА-М,2022.-352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</si>
  <si>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</si>
  <si>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</si>
  <si>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</si>
  <si>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</si>
  <si>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</si>
  <si>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</si>
  <si>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</si>
  <si>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</si>
  <si>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</si>
  <si>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706589.05.01</t>
  </si>
  <si>
    <t>Практические основы бух. учета источников форм. имущ.орг.: Уч. / М.Д.Акатьева-М.:НИЦ ИНФРА-М,2022-241с(П)(СПО)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</si>
  <si>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</si>
  <si>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</si>
  <si>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</si>
  <si>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</si>
  <si>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705815.01.01</t>
  </si>
  <si>
    <t>Практический аудит: Уч. / М.Ф.Сафонова и др.-М.:НИЦ ИНФРА-М,2023.-309 с.(ВО)(п)</t>
  </si>
  <si>
    <t>ПРАКТИЧЕСКИЙ АУДИТ</t>
  </si>
  <si>
    <t>Сафонова М.Ф., Калинина И.Н., Петух А.В.</t>
  </si>
  <si>
    <t>978-5-16-017218-7</t>
  </si>
  <si>
    <t>38.04.08, 38.05.01, 38.05.02, 38.03.01</t>
  </si>
  <si>
    <t>117850.07.01</t>
  </si>
  <si>
    <t>Предупреждение банкротства организаций: Моногр. / С.Е.Кован-М.:НИЦ ИНФРА-М,2020.-219с(Науч.мысль)(О)</t>
  </si>
  <si>
    <t>ПРЕДУПРЕЖДЕНИЕ БАНКРОТСТВА ОРГАНИЗАЦИЙ</t>
  </si>
  <si>
    <t>Кован С.Е.</t>
  </si>
  <si>
    <t>978-5-16-003729-5</t>
  </si>
  <si>
    <t>38.04.01, 38.04.08, 38.04.02, 38.06.01, 38.03.01, 38.03.02</t>
  </si>
  <si>
    <t>684945.02.01</t>
  </si>
  <si>
    <t>Прибыль организаций: налогообложение и учет: Уч. / Н.И.Малис -М.:Магистр, НИЦ ИНФРА-М,2020-180с(О)</t>
  </si>
  <si>
    <t>ПРИБЫЛЬ ОРГАНИЗАЦИЙ: НАЛОГООБЛОЖЕНИЕ И УЧЕТ</t>
  </si>
  <si>
    <t>Малис Н.И., Назарова Н.А., Тихонова А.В.</t>
  </si>
  <si>
    <t>978-5-9776-0482-6</t>
  </si>
  <si>
    <t>135530.09.01</t>
  </si>
  <si>
    <t>Применение функц.-стоимост. анал. в реш. управл. задач: Уч.пос./В.В.Рыжова -М:ИНФРА-М,2022-245с.(ВО) (п)</t>
  </si>
  <si>
    <t>ПРИМЕНЕНИЕ ФУНКЦИОНАЛЬНО-СТОИМОСТНОГО АНАЛИЗА В РЕШЕНИИ УПРАВЛЕНЧЕСКИХ ЗАДАЧ</t>
  </si>
  <si>
    <t>Рыжова В. В.</t>
  </si>
  <si>
    <t>978-5-16-004415-6</t>
  </si>
  <si>
    <t>38.04.01, 38.04.06, 38.04.02, 38.04.03, 38.04.04, 38.04.05, 38.03.01, 38.03.05, 38.03.06, 38.03.02, 38.03.04, 38.03.03</t>
  </si>
  <si>
    <t>Рекомендовано Ассоциацией бухгалтеров и аудиторов "Содружество" в качестве учебно-практического пособия для студентов вузов и слушателей системы подготовки и повышения квалификации профессиональных бухгалтеров и аудиторов</t>
  </si>
  <si>
    <t>756610.01.01</t>
  </si>
  <si>
    <t>Принципы бюджетной системы РФ: Моногр. / Под ред. Поветкиной Н.А.-М.:НИЦ ИНФРА-М,2021.-225 с.(О)</t>
  </si>
  <si>
    <t>ПРИНЦИПЫ БЮДЖЕТНОЙ СИСТЕМЫ РОССИЙСКОЙ ФЕДЕРАЦИИ: ТЕОРЕТИКО-ПРАВОВЫЕ ОСНОВЫ РЕАЛИЗАЦИИ</t>
  </si>
  <si>
    <t>Воронцов О.Г.</t>
  </si>
  <si>
    <t>978-5-16-016925-5</t>
  </si>
  <si>
    <t>40.03.01, 40.04.01, 38.04.01, 38.04.08, 38.04.04, 38.06.01, 40.06.01, 38.03.01, 38.03.04</t>
  </si>
  <si>
    <t>254700.07.01</t>
  </si>
  <si>
    <t>Принципы и инструменты финанс. иннов. в РФ: Моногр. / В.Е.Леонтьев - М.:ИНФРА-М, 2024-194с.(о)</t>
  </si>
  <si>
    <t>ПРИНЦИПЫ И ИНСТРУМЕНТЫ ФИНАНСИРОВАНИЯ ИННОВАЦИЙ В РОССИЙСКОЙ ФЕДЕРАЦИИ</t>
  </si>
  <si>
    <t>Леонтьев В. Е., Баранова А. Ю.</t>
  </si>
  <si>
    <t>978-5-16-009440-3</t>
  </si>
  <si>
    <t>463850.03.01</t>
  </si>
  <si>
    <t>Принятие финансовых решений в условиях сравнительной неопределенности: монография / О.А.Баюк и др.-М.:Вузовский учебник, НИЦ ИНФРА-М,2018.-106 с..-(На</t>
  </si>
  <si>
    <t>ПРИНЯТИЕ ФИНАНСОВЫХ РЕШЕНИЙ В УСЛОВИЯХ СРАВНИТЕЛЬНОЙ НЕОПРЕДЕЛЕННОСТИ</t>
  </si>
  <si>
    <t>Баюк О. А., Браилов А. В., Денежкина И. Е., Зададаев С. A.</t>
  </si>
  <si>
    <t>978-5-9558-0363-0</t>
  </si>
  <si>
    <t>363800.03.01</t>
  </si>
  <si>
    <t>Проблема безбилетника: модель процесса и ...: Моногр./ Е.Г.Беккер.-М.:Вуз.уч, НИЦ ИНФРА-М,2020-157с</t>
  </si>
  <si>
    <t>ПРОБЛЕМА БЕЗБИЛЕТНИКА: МОДЕЛЬ ПРОЦЕССА И РЕЦЕПТЫ ПОДАВЛЕНИЯ</t>
  </si>
  <si>
    <t>Беккер Е.Г., Денежкина И.Е., Набатова Д.С. и др.</t>
  </si>
  <si>
    <t>978-5-9558-0439-2</t>
  </si>
  <si>
    <t>697231.04.01</t>
  </si>
  <si>
    <t>Проблемы совершенств. финанс. методов и моделей..: Моногр. / А.С.Макаров - М.:НИЦ ИНФРА-М,2022-175с(О)</t>
  </si>
  <si>
    <t>ПРОБЛЕМЫ СОВЕРШЕНСТВОВАНИЯ ФИНАНСОВЫХ МЕТОДОВ И МОДЕЛЕЙ ОБЕСПЕЧЕНИЯ УСТОЙЧИВОГО РАЗВИТИЯ КОМПАНИИ</t>
  </si>
  <si>
    <t>Макаров А.С., Рябова Е.В., Хвостова И.Е.</t>
  </si>
  <si>
    <t>978-5-16-014625-6</t>
  </si>
  <si>
    <t>166774.02.01</t>
  </si>
  <si>
    <t>Прогноз возврата инвестиций в интернет-маркетинг / А. Баранов - М.: ИЦ РИОР, 2017. - 85 с. (о)</t>
  </si>
  <si>
    <t>ПРОГНОЗ ВОЗВРАТА ИНВЕСТИЦИЙ В ИНТЕРНЕТ-МАРКЕТИНГ: НАСТОЛЬНАЯ КНИГА МАРКЕТОЛОГА. ВЗГЛЯД ПРАКТИКА</t>
  </si>
  <si>
    <t>Баранов А.Е.</t>
  </si>
  <si>
    <t>Практическое руководство</t>
  </si>
  <si>
    <t>978-5-369-00776-1</t>
  </si>
  <si>
    <t>38.04.07, 38.04.01, 38.04.06, 38.04.02, 38.03.01, 38.03.05, 38.03.02, 41.03.06</t>
  </si>
  <si>
    <t>371900.07.01</t>
  </si>
  <si>
    <t>Прогнозирование фин.кризисов..: Моногр. / И.Я.Лукасевич - М.:Вуз.уч.,НИЦ ИНФРА-М,2023 - 126с.(Науч.книга)(О)</t>
  </si>
  <si>
    <t>ПРОГНОЗИРОВАНИЕ ФИНАНСОВЫХ КРИЗИСОВ:МЕТОДЫ,МОДЕЛИ,ИНДИКАТОРЫ</t>
  </si>
  <si>
    <t>Лукасевич И.Я., Федорова Е.А.</t>
  </si>
  <si>
    <t>978-5-9558-0443-9</t>
  </si>
  <si>
    <t>38.04.09, 38.04.01, 38.04.08, 38.04.04, 38.06.01, 38.07.02, 38.03.01, 38.03.04</t>
  </si>
  <si>
    <t>189900.05.01</t>
  </si>
  <si>
    <t>Программный бюджет: Уч. пос. / Под ред. М.П. Афанасьева - М.: Магистр:  НИЦ Инфра-М, 2022 - 384 с. (п)</t>
  </si>
  <si>
    <t>ПРОГРАММНЫЙ БЮДЖЕТ</t>
  </si>
  <si>
    <t>Афанасьев М. П., Беленчук А. А., Березкин Д. И., Афанасьев М. П.</t>
  </si>
  <si>
    <t>978-5-9776-0231-0</t>
  </si>
  <si>
    <t>476450.04.01</t>
  </si>
  <si>
    <t>Проектное финансирование: синергетический аспект: Уч.пос./Г.А.Поташева - М.: ИНФРА-М, 2023 - 384 с(П)</t>
  </si>
  <si>
    <t>ПРОЕКТНОЕ ФИНАНСИРОВАНИЕ: СИНЕРГЕТИЧЕСКИЙ АСПЕКТ</t>
  </si>
  <si>
    <t>Поташева Г.А.</t>
  </si>
  <si>
    <t>978-5-16-005631-9</t>
  </si>
  <si>
    <t>Государственный Университет Просвещения</t>
  </si>
  <si>
    <t>144300.11.01</t>
  </si>
  <si>
    <t>Производные финансовые инструменты: Уч. / В.А.Галанов - 2 изд. - М.:НИЦ ИНФРА-М,2024 - 221 с.(ВО)(О)</t>
  </si>
  <si>
    <t>ПРОИЗВОДНЫЕ ФИНАНСОВЫЕ ИНСТРУМЕНТЫ, ИЗД.2</t>
  </si>
  <si>
    <t>Галанов В.А.</t>
  </si>
  <si>
    <t>978-5-16-012272-4</t>
  </si>
  <si>
    <t>38.02.07, 38.02.01, 38.02.03, 38.04.01, 38.04.08, 38.04.06, 38.04.02, 38.04.05, 38.03.01, 38.03.05, 38.03.06, 38.03.02, 44.03.05</t>
  </si>
  <si>
    <t>136750.05.01</t>
  </si>
  <si>
    <t>Производственный учет: Монография / Е.А.Мизиковский-М.:Магистр, НИЦ ИНФРА-М,2023.-272 с.(О)</t>
  </si>
  <si>
    <t>ПРОИЗВОДСТВЕННЫЙ УЧЕТ</t>
  </si>
  <si>
    <t>978-5-9776-0162-7</t>
  </si>
  <si>
    <t>38.04.08, 38.03.02, 41.03.06</t>
  </si>
  <si>
    <t>169850.09.01</t>
  </si>
  <si>
    <t>Противодействие легализации (отмыванию)...: Практ.пос. / Н.В.Кобозева - М.:Магистр:ИНФРА-М,2023 - 128 с.(о)</t>
  </si>
  <si>
    <t>ПРОТИВОДЕЙСТВИЕ ЛЕГАЛИЗАЦИИ (ОТМЫВАНИЮ) ДОХОДОВ, ПОЛУЧЕННЫХ ПРЕСТУПНЫМ ПУТЕМ И ФИНАНСИРОВАНИЮ ТЕРРОРИЗМА В АУДИТОРСКОЙ ДЕЯТЕЛЬНОСТИ</t>
  </si>
  <si>
    <t>Кобозева Н. В.</t>
  </si>
  <si>
    <t>978-5-9776-0215-0</t>
  </si>
  <si>
    <t>40.03.01, 40.04.01, 38.04.01, 38.03.01</t>
  </si>
  <si>
    <t>287300.05.01</t>
  </si>
  <si>
    <t>Профессиональные ценности и этика в бух. уч. :Уч.пос. / В.Б.Ивашкевич - М.:Магистр,НИЦ ИНФРА-М,2022 - 224 с.(О)</t>
  </si>
  <si>
    <t>ПРОФЕССИОНАЛЬНЫЕ ЦЕННОСТИ И ЭТИКА В БУХГАЛТЕРСКОМ УЧЕТЕ И АУДИТЕ</t>
  </si>
  <si>
    <t>978-5-9776-0327-0</t>
  </si>
  <si>
    <t>721143.01.01</t>
  </si>
  <si>
    <t>Прямые иностранные инвестиции в электроэнерг. России: Моногр. / Я.Н.Зубкова - М.:Магистр,2019 - 204 с.(О)</t>
  </si>
  <si>
    <t>ПРЯМЫЕ ИНОСТРАННЫЕ ИНВЕСТИЦИИ В ЭЛЕКТРОЭНЕРГЕТИКЕ РОССИИ</t>
  </si>
  <si>
    <t>Зубкова Я.Н.</t>
  </si>
  <si>
    <t>978-5-9776-0510-6</t>
  </si>
  <si>
    <t>41.04.05, 38.04.01, 38.04.04, 38.05.01</t>
  </si>
  <si>
    <t>664198.02.01</t>
  </si>
  <si>
    <t>Публичные доходы в РФ: фин.-прав.аспект: Моногр. / Н.В.Васильева-М.:Юр.Норма, НИЦ ИНФРА-М,2019-304с.</t>
  </si>
  <si>
    <t>ПУБЛИЧНЫЕ ДОХОДЫ В РФ: ФИНАНСОВО-ПРАВОВОЙ АСПЕКТ</t>
  </si>
  <si>
    <t>Васильева Н.В., Грачева Е.Ю.</t>
  </si>
  <si>
    <t>978-5-91768-851-0</t>
  </si>
  <si>
    <t>40.04.01, 38.04.01, 38.04.08, 38.04.02, 38.04.04</t>
  </si>
  <si>
    <t>474900.02.01</t>
  </si>
  <si>
    <t>Пути повышения эффективности венчурного финансирования инновационных проектов: монография / М.В.Кузнецова-М.:НИЦ ИНФРА-М,2018.-102 с..-(Науч.мысль)</t>
  </si>
  <si>
    <t>ПУТИ ПОВЫШЕНИЯ ЭФФЕКТИВНОСТИ ВЕНЧУРНОГО ФИНАНСИРОВАНИЯ ИННОВАЦИОННЫХ ПРОЕКТОВ</t>
  </si>
  <si>
    <t>Кузнецова М.В.</t>
  </si>
  <si>
    <t>978-5-16-011637-2</t>
  </si>
  <si>
    <t>38.04.08, 38.04.02, 38.03.01, 38.03.02, 44.03.05, 41.03.06</t>
  </si>
  <si>
    <t>Магнитогорский государственный технический университет им. Г.И. Носова</t>
  </si>
  <si>
    <t>636892.03.01</t>
  </si>
  <si>
    <t>Развитие бухгалтерского учета фин. результатов: Моногр. / Л.И.Хоружий-М.:НИЦ ИНФРА-М,2020-148с.(П)</t>
  </si>
  <si>
    <t>РАЗВИТИЕ БУХГАЛТЕРСКОГО УЧЕТА ФИНАНСОВЫХ РЕЗУЛЬТАТОВ ОТ БИОТРАНСФОРМАЦИИ БИОЛОГИЧЕСКИХ АКТИВОВ</t>
  </si>
  <si>
    <t>Хоружий Л.И., Дейч У.Ю.</t>
  </si>
  <si>
    <t>978-5-16-012188-8</t>
  </si>
  <si>
    <t>Российский государственный аграрный университет - МСХА им. К.А. Тимирязева</t>
  </si>
  <si>
    <t>482850.03.01</t>
  </si>
  <si>
    <t>Развитие методики бух. учета фин. результатов: Моногр./Ю.И.Сигидов-НИЦ ИНФРА-М,2019-118с(Науч.мысль)</t>
  </si>
  <si>
    <t>РАЗВИТИЕ МЕТОДИКИ БУХГАЛТЕРСКОГО УЧЕТА ФИНАНСОВЫХ РЕЗУЛЬТАТОВ СЕЛЬСКОХОЗЯЙСТВЕННЫХ ОРГАНИЗАЦИЙ</t>
  </si>
  <si>
    <t>Сигидов Ю.И., Ясменко Г.Н.</t>
  </si>
  <si>
    <t>978-5-16-010476-8</t>
  </si>
  <si>
    <t>452100.07.01</t>
  </si>
  <si>
    <t>Развитие упр. учета в рамках концепции кайдзен: Моногр. / Ю.И.Сигидов-М.:НИЦ ИНФРА-М,2024-179с.(Науч.мысль)(о)</t>
  </si>
  <si>
    <t>РАЗВИТИЕ УПРАВЛЕНЧЕСКОГО УЧЕТА В РАМКАХ КОНЦЕПЦИИ КАЙДЗЕН</t>
  </si>
  <si>
    <t>978-5-16-011453-8</t>
  </si>
  <si>
    <t>38.04.07, 38.04.01, 38.04.08, 38.04.06, 38.04.02, 38.04.03, 38.04.04, 38.03.01, 38.03.06, 38.03.07, 38.03.02, 38.03.04, 38.03.03</t>
  </si>
  <si>
    <t>439750.04.01</t>
  </si>
  <si>
    <t>Развитие фин.в жилищ.-коммунал.хоз.: Моногр. / Ряховская А.Н. - М.:Магистр,НИЦ ИНФРА-М,2019-256с.(П)</t>
  </si>
  <si>
    <t>РАЗВИТИЕ ФИНАНСИРОВАНИЯ В ЖИЛИЩНО-КОММУНАЛЬНОМ ХОЗЯЙСТВЕ</t>
  </si>
  <si>
    <t>Ряховская А. Н., Шрейбер А. К., Кириллова А. Н., Кован С. Е., Ряховская А. Н.</t>
  </si>
  <si>
    <t>978-5-9776-0271-6</t>
  </si>
  <si>
    <t>38.04.01, 38.04.08, 38.04.04, 38.03.01, 38.03.04, 44.03.05</t>
  </si>
  <si>
    <t>275200.03.01</t>
  </si>
  <si>
    <t>Развитие финансовой системы РФ: Уч.пос. / С.А. Чернецов. - М.: Магистр: ИНФРА-М, 2023. - 320 с. (п)</t>
  </si>
  <si>
    <t>РАЗВИТИЕ ФИНАНСОВОЙ СИСТЕМЫ РОССИЙСКОЙ ФЕДЕРАЦИИ</t>
  </si>
  <si>
    <t>Чернецов С.А.</t>
  </si>
  <si>
    <t>978-5-9776-0313-3</t>
  </si>
  <si>
    <t>38.04.01, 38.04.08, 38.04.06, 38.04.02, 38.04.05, 23.03.01, 38.03.01, 38.03.05, 38.03.06, 38.03.02</t>
  </si>
  <si>
    <t>351700.03.01</t>
  </si>
  <si>
    <t>Расширение информационной базы отчетных..: Моногр. / Под ред. Сигидова Ю.И.-М.:НИЦ ИНФРА-М,2019-236с</t>
  </si>
  <si>
    <t>РАСШИРЕНИЕ ИНФОРМАЦИОННОЙ БАЗЫ ОТЧЕТНЫХ ПОКАЗАТЕЛЕЙ КАК ОСНОВА ПОВЫШЕНИЯ ЭФФЕКТИВНОСТИ УПРАВЛЕНИЯ</t>
  </si>
  <si>
    <t>Сигидов Ю.И., Рыбянцева М.С., Ясменко Г.Н. и др.</t>
  </si>
  <si>
    <t>978-5-16-010870-4</t>
  </si>
  <si>
    <t>38.04.01, 38.04.08, 38.04.02, 38.06.01, 38.03.01, 44.03.01</t>
  </si>
  <si>
    <t>653105.03.01</t>
  </si>
  <si>
    <t>Реальные инвестиции: Уч.пос. / М.В.Чараева-М.:НИЦ ИНФРА-М,2023.-265 с..-(ВО: Бакалавриат)(П)</t>
  </si>
  <si>
    <t>РЕАЛЬНЫЕ ИНВЕСТИЦИИ</t>
  </si>
  <si>
    <t>978-5-16-013086-6</t>
  </si>
  <si>
    <t>Рекомендовано 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</si>
  <si>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753691.01.01</t>
  </si>
  <si>
    <t>Ревизионные и экспертно-аналитич. методы выявления наруш...: Уч.пос. / Н.Г.Гаджиев-М.:НИЦ ИНФРА-М,2022.-218 с.(П)</t>
  </si>
  <si>
    <t>РЕВИЗИОННЫЕ И ЭКСПЕРТНО-АНАЛИТИЧЕСКИЕ МЕТОДЫ ВЫЯВЛЕНИЯ НАРУШЕНИЙ В УЧЕТЕ И ОТЧЕТНОСТИ ОРГАНИЗАЦИЙ</t>
  </si>
  <si>
    <t>Гаджиев Н.Г., Коноваленко С.А.</t>
  </si>
  <si>
    <t>978-5-16-016993-4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</si>
  <si>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специальностям 38.05.01 «Экономическая безопасность» (квалификация «экономист»), 40.05.03 Судебная экспертиза (квалификация «судебный эксперт») (протокол № 1 от 12.01.2022)</t>
  </si>
  <si>
    <t>127400.06.01</t>
  </si>
  <si>
    <t>Регулирование мирового финансового рынка. Теория, практика, инструменты: монография / О.А.Гришина-М.:НИЦ ИНФРА-М,2018.-410 с..-(Науч.мысль)(Переплё</t>
  </si>
  <si>
    <t>РЕГУЛИРОВАНИЕ МИРОВОГО ФИНАНСОВОГО РЫНКА</t>
  </si>
  <si>
    <t>Гришина О.А., Звонова Е.А.</t>
  </si>
  <si>
    <t>978-5-16-009920-0</t>
  </si>
  <si>
    <t>38.04.01, 38.04.08, 38.06.01, 38.07.02, 38.03.01, 38.03.02, 44.03.01</t>
  </si>
  <si>
    <t>127400.09.01</t>
  </si>
  <si>
    <t>Регулирование мирового финансового рынка...: Моногр. / О.А.Гришина - 2 изд.-М.:НИЦ ИНФРА-М,2024-410 с.(П)</t>
  </si>
  <si>
    <t>РЕГУЛИРОВАНИЕ МИРОВОГО ФИНАНСОВОГО РЫНКА, ИЗД.2</t>
  </si>
  <si>
    <t>399200.04.01</t>
  </si>
  <si>
    <t>Релевантная финанс.отчетность в усл.разв...:Моногр./Л.Б.Трофимова-М:НИЦ ИНФРА-М,2023-253(Науч.мысль)</t>
  </si>
  <si>
    <t>РЕЛЕВАНТНАЯ ФИНАНСОВАЯ ОТЧЕТНОСТЬ В УСЛОВИЯХ РАЗВИТИЯ ИНТЕГРАЦИОННЫХ ПРОЦЕССОВ</t>
  </si>
  <si>
    <t>Трофимова Л.Б.</t>
  </si>
  <si>
    <t>978-5-16-011689-1</t>
  </si>
  <si>
    <t>38.04.09, 38.04.01, 38.04.08, 38.05.01, 38.03.01</t>
  </si>
  <si>
    <t>696634.02.01</t>
  </si>
  <si>
    <t>Риски финансовой безопасности / И.И.Кучеров и др. - М.:Юр.Норма,НИЦ ИНФРА-М,2020 - 304 с.(П)</t>
  </si>
  <si>
    <t>РИСКИ ФИНАНСОВОЙ БЕЗОПАСНОСТИ</t>
  </si>
  <si>
    <t>978-5-91768-980-7</t>
  </si>
  <si>
    <t>40.04.01, 38.04.01, 38.04.08, 38.04.02, 38.04.04, 40.05.01, 38.05.01, 38.06.01, 40.06.01, 38.07.02</t>
  </si>
  <si>
    <t>800188.01.01</t>
  </si>
  <si>
    <t>Россия в мировой финансовой архитектуре: Моногр/ / П.В.Алексеев.-М.:НИЦ ИНФРА-М,2023.-203 с.(п)</t>
  </si>
  <si>
    <t>РОССИЯ В МИРОВОЙ ФИНАНСОВОЙ АРХИТЕКТУРЕ</t>
  </si>
  <si>
    <t>Алексеев П.В., Антропов В.В., Аршакуни А.А. и др.</t>
  </si>
  <si>
    <t>978-5-16-018355-8</t>
  </si>
  <si>
    <t>38.04.01, 38.04.08, 38.05.01, 38.06.01, 38.07.02</t>
  </si>
  <si>
    <t>420850.03.01</t>
  </si>
  <si>
    <t>Русское финансовое право / Э.Н.Берендтс и др.-М.:ИЦ РИОР, НИЦ ИНФРА-М,2018.-397 с..-(Науч.мысль)(О)</t>
  </si>
  <si>
    <t>РУССКОЕ ФИНАНСОВОЕ ПРАВО</t>
  </si>
  <si>
    <t>Берендтс Э. Н., Куракин Р. С., Семенова Е. В., Зиноватный П. С., Зиноватная И. В.</t>
  </si>
  <si>
    <t>978-5-369-01176-8</t>
  </si>
  <si>
    <t>694120.05.01</t>
  </si>
  <si>
    <t>Рынки капитала и криптоактивов...: Моногр. / А.Ю.Михайлов-М.:НИЦ ИНФРА-М,2023.-219 с.(П)</t>
  </si>
  <si>
    <t>РЫНКИ КАПИТАЛА И КРИПТОАКТИВОВ: ТРЕНДЫ И ПОВЕДЕНИЕ ИНВЕСТОРОВ</t>
  </si>
  <si>
    <t>Михайлов А.Ю.</t>
  </si>
  <si>
    <t>978-5-16-014667-6</t>
  </si>
  <si>
    <t>072100.19.01</t>
  </si>
  <si>
    <t>Рынок ценных бумаг: Уч. / В.А.Галанов - 2 изд. - М.:НИЦ ИНФРА-М,2023 - 414 с.-(ВО)(п)</t>
  </si>
  <si>
    <t>РЫНОК ЦЕННЫХ БУМАГ, ИЗД.2</t>
  </si>
  <si>
    <t>978-5-16-018868-3</t>
  </si>
  <si>
    <t>125050.03.01</t>
  </si>
  <si>
    <t>Рынок ценных бумаг: Шпаргалка - М.:ИЦ РИОР, НИЦ ИНФРА-М-143 с.-(Шпаргалка [отрывная])(О)</t>
  </si>
  <si>
    <t>РЫНОК ЦЕННЫХ БУМАГ</t>
  </si>
  <si>
    <t>978-5-369-00633-7</t>
  </si>
  <si>
    <t>137200.04.01</t>
  </si>
  <si>
    <t>Рынок ценных бумаг:прошлое,настоящее...: Моногр. /Т.Б.Бердникова-М.:ИНФРА-М,2015-397с(Науч.мысль)</t>
  </si>
  <si>
    <t>РЫНОК ЦЕННЫХ БУМАГ:ПРОШЛОЕ,НАСТОЯЩЕЕ,БУДУЩЕЕ</t>
  </si>
  <si>
    <t>Бердникова Т. Б.</t>
  </si>
  <si>
    <t>978-5-16-004150-6</t>
  </si>
  <si>
    <t>38.04.08, 38.04.04</t>
  </si>
  <si>
    <t>482650.07.01</t>
  </si>
  <si>
    <t>Секреты успешных банков: бизнес-процессы и технологии / Р.А.Исаев - 2 изд. - М.:НИЦ ИНФРА-М,2022 - 222 с(П)</t>
  </si>
  <si>
    <t>СЕКРЕТЫ УСПЕШНЫХ БАНКОВ: БИЗНЕС-ПРОЦЕССЫ И ТЕХНОЛОГИИ, ИЗД.2</t>
  </si>
  <si>
    <t>978-5-16-010471-3</t>
  </si>
  <si>
    <t>Пособие</t>
  </si>
  <si>
    <t>727003.01.01</t>
  </si>
  <si>
    <t>Симметрия заблуждений: Факторы неопределенности...: Моногр. / В.Д.Миловидов - М.:Магистр,2019 - 336с(П)</t>
  </si>
  <si>
    <t>СИММЕТРИЯ ЗАБЛУЖДЕНИЙ: ФАКТОРЫ НЕОПРЕДЕЛЕННОСТИ ФИНАНСОВОГО РЫНКА В УСЛОВИЯХ ТЕХНОЛОГИЧЕСКОЙ РЕВОЛЮЦИИ</t>
  </si>
  <si>
    <t>Миловидов В.Д.</t>
  </si>
  <si>
    <t>978-5-9776-0509-0</t>
  </si>
  <si>
    <t>656208.06.01</t>
  </si>
  <si>
    <t>Система финанс.контроллинга бизнес-процессов в пром.холдингах: Моногр. / Е.А.Хлевная - М.:НИЦ ИНФРА-М,2024-289с(П)</t>
  </si>
  <si>
    <t>СИСТЕМА ФИНАНСОВОГО КОНТРОЛЛИНГА БИЗНЕС-ПРОЦЕССОВ В ПРОМЫШЛЕННЫХ ХОЛДИНГАХ</t>
  </si>
  <si>
    <t>Хлевная Е.А.</t>
  </si>
  <si>
    <t>978-5-16-012868-9</t>
  </si>
  <si>
    <t>392900.05.01</t>
  </si>
  <si>
    <t>Совершенствование банк. регул. и надзора..: Моногр. /С.Ю. Хасянова -НИЦ ИНФРА-М,2020-234(Науч.мысль)</t>
  </si>
  <si>
    <t>СОВЕРШЕНСТВОВАНИЕ БАНКОВСКОГО РЕГУЛИРОВАНИЯ И НАДЗОРА В РОССИИ НА ОСНОВЕ МЕЖДУНАРОДНЫХ ПРИНЦИПОВ</t>
  </si>
  <si>
    <t>978-5-16-012435-3</t>
  </si>
  <si>
    <t>38.04.01, 38.04.08, 38.04.02</t>
  </si>
  <si>
    <t>657127.03.01</t>
  </si>
  <si>
    <t>Современные концепции бух.учета и отчетности: Уч. / А.М.Петров-М.:Вуз.уч., НИЦ ИНФРА-М,2023-228с(ВО)</t>
  </si>
  <si>
    <t>СОВРЕМЕННЫЕ КОНЦЕПЦИИ БУХГАЛТЕРСКОГО УЧЕТА И ОТЧЕТНОСТИ</t>
  </si>
  <si>
    <t>978-5-9558-0573-3</t>
  </si>
  <si>
    <t>38.04.09, 38.04.07, 25.04.03, 38.04.01, 38.04.08, 38.04.06, 38.04.02, 38.04.04, 38.04.05, 38.05.01, 38.05.02</t>
  </si>
  <si>
    <t>287700.04.01</t>
  </si>
  <si>
    <t>Современные тенденции развития и антикриз...: Моногр. / Под ред. Рубцова Б.Б.-М.:НИЦ ИНФРА-М,2022.-180 с.(П)</t>
  </si>
  <si>
    <t>СОВРЕМЕННЫЕ ТЕНДЕНЦИИ РАЗВИТИЯ И АНТИКРИЗИСНОГО РЕГУЛИРОВАНИЯ ФИНАНСОВО-ЭКОНОМИЧЕСКОЙ СИСТЕМЫ</t>
  </si>
  <si>
    <t>Рубцов Б.Б., Рубцов Б.Б., Селезнев П.С.</t>
  </si>
  <si>
    <t>978-5-16-009990-3</t>
  </si>
  <si>
    <t>776548.03.01</t>
  </si>
  <si>
    <t>Современный подход к инвентаризации...: Моногр./ А.А.Позов-М.:Магистр, НИЦ ИНФРА-М,2024.-224 с.(П)</t>
  </si>
  <si>
    <t>СОВРЕМЕННЫЙ ПОДХОД К ИНВЕНТАРИЗАЦИИ: КАК ДОСТИЧЬ ВЫСОКОЙ ТОЧНОСТИ СКЛАДСКИХ ОСТАТКОВ?</t>
  </si>
  <si>
    <t>Позов А.А.</t>
  </si>
  <si>
    <t>978-5-9776-0543-4</t>
  </si>
  <si>
    <t>664183.02.01</t>
  </si>
  <si>
    <t>Специальные налог. режимы и особые экономич.зоны: Уч.пос. / Под ред.Малис Н.И.-М.:Магистр,НИЦ ИНФРА-М,2023-120с</t>
  </si>
  <si>
    <t>СПЕЦИАЛЬНЫЕ НАЛОГОВЫЕ РЕЖИМЫ И ОСОБЫЕ ЭКОНОМИЧЕСКИЕ ЗОНЫ</t>
  </si>
  <si>
    <t>Малис Н.И.</t>
  </si>
  <si>
    <t>978-5-9776-0465-9</t>
  </si>
  <si>
    <t>38.02.07, 38.02.01, 38.02.03, 38.03.01, 44.03.01, 44.03.05</t>
  </si>
  <si>
    <t>462750.10.01</t>
  </si>
  <si>
    <t>Справочник по финансовой математике: Уч. пос./ П.Н. Брусов - М.: НИЦ ИНФРА-М, 2024. - 239 с.(ВО) (п)</t>
  </si>
  <si>
    <t>СПРАВОЧНИК ПО ФИНАНСОВОЙ МАТЕМАТИКЕ</t>
  </si>
  <si>
    <t>Брусов П. Н., Филатова Т. В., Орехова Н. П.</t>
  </si>
  <si>
    <t>978-5-16-009577-6</t>
  </si>
  <si>
    <t>38.04.08, 38.03.01, 38.03.05, 38.03.02, 38.03.04</t>
  </si>
  <si>
    <t>Рекомендовано в качестве учебного пособия для студентов высших учебных заведений, обучающихся по направлению подготовки 38.00.00 «Экономика и управление"</t>
  </si>
  <si>
    <t>358600.04.01</t>
  </si>
  <si>
    <t>Стандартизация бух.уч.и фин.отчет.:Уч.пос./С.А.Бескоровайная-М.:НИЦ ИНФРА-М,2023-277(ВО:Магистр.)(п)</t>
  </si>
  <si>
    <t>СТАНДАРТИЗАЦИЯ БУХГАЛТЕРСКОГО УЧЕТА И ФИНАНСОВОЙ ОТЧЕТНОСТИ</t>
  </si>
  <si>
    <t>БескоровайнаяС.А.</t>
  </si>
  <si>
    <t>978-5-16-010944-2</t>
  </si>
  <si>
    <t>Рекомендовано в качестве учебного пособия для студентов высших учебных заведений, обучающихся по направлению подготовки 38.04.01 «Экономика».Квалификация (степень) «магистр»</t>
  </si>
  <si>
    <t>778189.02.01</t>
  </si>
  <si>
    <t>Стандарты аудита ислам. финанс. учреж. и Кодекс этики ...: Уч.пос. / Ф.И.Харисова.-М.:НИЦ ИНФРА-М,2023.-217 с.(ВО)(п)</t>
  </si>
  <si>
    <t>СТАНДАРТЫ АУДИТА ИСЛАМСКИХ ФИНАНСОВЫХ УЧРЕЖДЕНИЙ И КОДЕКС ЭТИКИ ДЛЯ СПЕЦИАЛИСТОВ ПО ИСЛАМСКИМ ФИНАНСАМ (ААОИФИ - AAOIFI)</t>
  </si>
  <si>
    <t>Харисова Ф.И., Дерзаева Г.Г., Харисов И.К. и др.</t>
  </si>
  <si>
    <t>978-5-16-017779-3</t>
  </si>
  <si>
    <t>455550.06.01</t>
  </si>
  <si>
    <t>Статистика финансов: Уч. пос. / Е.А.Саблина-М.:НИЦ ИНФРА-М,2023.-288 с..-(ВО: Бакалавриат)(п)</t>
  </si>
  <si>
    <t>СТАТИСТИКА ФИНАНСОВ</t>
  </si>
  <si>
    <t>Саблина Е. А.</t>
  </si>
  <si>
    <t>978-5-16-009092-4</t>
  </si>
  <si>
    <t>Рекомендовано Учебно-методическим объединением по образованию в области статистики и математических методов в экономике в качестве учебного пособия для студентов высших учебных заведений, обучающихся по направлению «Экономика»</t>
  </si>
  <si>
    <t>Московский международный университет</t>
  </si>
  <si>
    <t>268300.07.01</t>
  </si>
  <si>
    <t>Стратегический анализ и бюджет. денеж..:Моногр. / Е.Б.Маевская-М.:НИЦ ИНФРА-М,2023-108с.(Науч.мысль)</t>
  </si>
  <si>
    <t>СТРАТЕГИЧЕСКИЙ АНАЛИЗ И БЮДЖЕТИРОВАНИЕ ДЕНЕЖНЫХ ПОТОКОВ КОММЕРЧЕСКИХ ОРГАНИЗАЦИЙ</t>
  </si>
  <si>
    <t>Маевская Е.Б.</t>
  </si>
  <si>
    <t>978-5-16-009615-5</t>
  </si>
  <si>
    <t>214600.08.01</t>
  </si>
  <si>
    <t>Стратегический управленческий учет для бизнеса: Уч./ Л.В.Юрьева-М:НИЦ ИНФРА-М,2022-336с.(ВО:Магистр.) (П)</t>
  </si>
  <si>
    <t>СТРАТЕГИЧЕСКИЙ УПРАВЛЕНЧЕСКИЙ УЧЕТ ДЛЯ БИЗНЕСА</t>
  </si>
  <si>
    <t>Юрьева Л. В., Илышева Н. Н., Караваева А. В., Быстрова А. Н.</t>
  </si>
  <si>
    <t>978-5-16-005513-8</t>
  </si>
  <si>
    <t>38.04.01, 38.04.08, 38.03.01, 38.03.02, 41.03.06</t>
  </si>
  <si>
    <t>Рекомендовано УМО вузов России по образованию в области финансов, учета и мировой экономики в качестве учебного пособия для студентов, обучающихся по направлению «Экономика» (уровень магистратуры)</t>
  </si>
  <si>
    <t>Уральский федеральный университет им. первого президента России Б.Н. Ельцина, ф-л Нижнетагильский технологический институт</t>
  </si>
  <si>
    <t>265200.05.01</t>
  </si>
  <si>
    <t>Стратегический управленческий учет: Моногр. / Л.И.Ким - М.:НИЦ ИНФРА-М,2022 - 202 с.(Научная мысль)(О)</t>
  </si>
  <si>
    <t>СТРАТЕГИЧЕСКИЙ УПРАВЛЕНЧЕСКИЙ УЧЕТ</t>
  </si>
  <si>
    <t>Ким Л. И.</t>
  </si>
  <si>
    <t>978-5-16-009571-4</t>
  </si>
  <si>
    <t>313800.05.01</t>
  </si>
  <si>
    <t>Стратегическое управление финансами: как добиться.. / В.А.Кашин-М.:Магистр,НИЦ ИНФРА-М,2024-176с.(о)</t>
  </si>
  <si>
    <t>СТРАТЕГИЧЕСКОЕ УПРАВЛЕНИЕ ФИНАНСАМИ: КАК ДОБИТЬСЯ ЛИЧНОГО ФИНАНСОВОГО БЛАГОПОЛУЧИЯ</t>
  </si>
  <si>
    <t>Кашин В.А., Панков В.В., Перов В.И.</t>
  </si>
  <si>
    <t>978-5-9776-0346-1</t>
  </si>
  <si>
    <t>38.04.01, 38.04.08, 38.04.02, 38.06.01, 38.07.02, 38.03.01, 38.03.02</t>
  </si>
  <si>
    <t>655208.03.01</t>
  </si>
  <si>
    <t>Стратегия обеспеч.инвестиц.безопасности России: Моногр./ Ю.А.Шеховцова-М.:ИЦ РИОР,НИЦ ИНФРА-М,2022-346с.(О)</t>
  </si>
  <si>
    <t>СТРАТЕГИЯ ОБЕСПЕЧЕНИЯ ИНВЕСТИЦИОННОЙ БЕЗОПАСНОСТИ РОССИИ: ТЕОРИЯ И  МЕТОДОЛОГИЯ</t>
  </si>
  <si>
    <t>Шеховцова Ю.А.</t>
  </si>
  <si>
    <t>978-5-369-01670-1</t>
  </si>
  <si>
    <t>02.03.02, 40.03.01, 10.04.01, 38.04.01, 38.04.04, 38.05.01, 38.03.01, 38.03.04, 44.03.01, 44.03.05</t>
  </si>
  <si>
    <t>Саратовский военный ордена Жукова краснознаменный институт войск национальной гвардии Российской Федерации</t>
  </si>
  <si>
    <t>723065.01.01</t>
  </si>
  <si>
    <t>Стратегия управ. корпоративными финансами...: Моногр. / М.В.Чараева-М.:НИЦ ИНФРА-М,2021.-218 с.(Науч.мысль)(О)</t>
  </si>
  <si>
    <t>СТРАТЕГИЯ УПРАВЛЕНИЯ КОРПОРАТИВНЫМИ ФИНАНСАМИ: ИНВЕСТИЦИИ И РИСКИ</t>
  </si>
  <si>
    <t>978-5-16-015877-8</t>
  </si>
  <si>
    <t>182800.06.01</t>
  </si>
  <si>
    <t>Страховое право: теоретические основы..: Моногр. /Ю.Б.Фогельсон-М.:Юр.Норма,НИЦ ИНФРА-М,2021-576с(П)</t>
  </si>
  <si>
    <t>СТРАХОВОЕ ПРАВО: ТЕОРЕТИЧЕСКИЕ ОСНОВЫ И ПРАКТИКА ПРИМЕНЕНИЯ</t>
  </si>
  <si>
    <t>Фогельсон Ю. Б.</t>
  </si>
  <si>
    <t>978-5-91768-268-6</t>
  </si>
  <si>
    <t>678848.04.01</t>
  </si>
  <si>
    <t>Страховой надзор в РФ: Уч.пос. / А.А.Ситник - 2 изд. - М.:Юр.Норма, НИЦ ИНФРА-М,2023 - 176 с.(П)</t>
  </si>
  <si>
    <t>СТРАХОВОЙ НАДЗОР В РФ, ИЗД.2</t>
  </si>
  <si>
    <t>Ситник А.А., Рождественская Т.Э., Гузнов А.Г.</t>
  </si>
  <si>
    <t>978-5-00156-133-0</t>
  </si>
  <si>
    <t>678848.01.01</t>
  </si>
  <si>
    <t>Страховой надзор в РФ: Уч.пос. для магистр. / А.А.Ситник - М.:Юр.Норма,НИЦ ИНФРА-М,2018 - 160 с.(П)</t>
  </si>
  <si>
    <t>СТРАХОВОЙ НАДЗОР В РФ</t>
  </si>
  <si>
    <t>978-5-91768-898-5</t>
  </si>
  <si>
    <t>734795.02.01</t>
  </si>
  <si>
    <t>Страховой риск: сравнит.-правовое исслед.: Моногр. / М.В.Кратенко - М.:Юр.Норма, НИЦ ИНФРА-М,2022 - 272 с.(П)</t>
  </si>
  <si>
    <t>СТРАХОВОЙ РИСК: СРАВНИТЕЛЬНО-ПРАВОВОЕ ИССЛЕДОВАНИЕ</t>
  </si>
  <si>
    <t>Кратенко М.В.</t>
  </si>
  <si>
    <t>978-5-00156-066-1</t>
  </si>
  <si>
    <t>Сибирский федеральный университет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</si>
  <si>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</si>
  <si>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</si>
  <si>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</si>
  <si>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</si>
  <si>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</si>
  <si>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</si>
  <si>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733366.01.01</t>
  </si>
  <si>
    <t>Теор.-метод.оценка учетно-отчет. адаптац. процессов...: Моногр./ Акатьева М.Д-М:ИНФРА-М, 2021.-213с(Науч.мысль)(О)</t>
  </si>
  <si>
    <t>ТЕОРЕТИКО-МЕТОДОЛОГИЧЕСКАЯ ОЦЕНКА УЧЕТНО-ОТЧЕТНЫХ АДАПТАЦИОННЫХ ПРОЦЕССОВ В УСЛОВИЯХ МИРОВОЙ ИНТЕГРАЦИИ РОССИЙСКОГО И МЕЖДУНАРОДНОГО ЗАКОНОДАТЕЛЬСТВА</t>
  </si>
  <si>
    <t>Акатьева М.Д., Бескоровайная С.А.</t>
  </si>
  <si>
    <t>978-5-16-016082-5</t>
  </si>
  <si>
    <t>655194.04.01</t>
  </si>
  <si>
    <t>Теоретико-правовые основы бюджетного устр. гос.: Моногр. / Х.В.Пешкова -М.:НИЦ ИНФРА-М,2023-315с(П)</t>
  </si>
  <si>
    <t>ТЕОРЕТИКО-ПРАВОВЫЕ ОСНОВЫ БЮДЖЕТНОГО УСТРОЙСТВА ГОСУДАРСТВА</t>
  </si>
  <si>
    <t>978-5-16-012952-5</t>
  </si>
  <si>
    <t>068200.08.01</t>
  </si>
  <si>
    <t>Теория бухгалтерского учета: Уч. / В.И. Щербакова. - М.: ИД ФОРУМ:НИЦ ИНФРА-М, 2022 - 352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</si>
  <si>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</si>
  <si>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</si>
  <si>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</si>
  <si>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</si>
  <si>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235200.06.01</t>
  </si>
  <si>
    <t>Теория бухгалтерского учета: Уч. пос. / Ю.И. Сигидов - 3 изд. - М.: НИЦ ИНФРА-М, 2022-326с.(ВО) (П)</t>
  </si>
  <si>
    <t>ТЕОРИЯ БУХГАЛТЕРСКОГО УЧЕТА, ИЗД.3</t>
  </si>
  <si>
    <t>Сигидов Ю. И., Трубилин А. И.</t>
  </si>
  <si>
    <t>978-5-16-009143-3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</si>
  <si>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</si>
  <si>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</si>
  <si>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</si>
  <si>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</si>
  <si>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</si>
  <si>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</si>
  <si>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105450.05.01</t>
  </si>
  <si>
    <t>Теория бухгалтерского учета: Шпаргалка. - М.: ИД РИОР, 2018. - 110 с.(Шпаргалка [отрывная]) (о) к/ф</t>
  </si>
  <si>
    <t>978-5-369-00374-9</t>
  </si>
  <si>
    <t>40.02.01, 38.02.01, 38.04.09, 38.04.07, 25.04.03, 38.04.01, 38.04.08, 38.04.06, 38.04.02, 38.04.03, 38.04.04, 38.04.05, 38.05.01, 38.05.02, 23.03.01, 38.03.01, 38.03.05, 38.03.06, 38.03.07, 38.03.02, 38.03.04, 38.03.03</t>
  </si>
  <si>
    <t>171750.05.01</t>
  </si>
  <si>
    <t>Теория и методология сквозного внутреннего контроля: Моногр. / Т.Ю.Серебрякова-М.:НИЦ ИНФРА-М,2022-329 с.-(Науч.мысль)(П)</t>
  </si>
  <si>
    <t>ТЕОРИЯ И МЕТОДОЛОГИЯ СКВОЗНОГО ВНУТРЕННЕГО КОНТРОЛЯ</t>
  </si>
  <si>
    <t>Серебрякова Т.Ю.</t>
  </si>
  <si>
    <t>978-5-16-009760-2</t>
  </si>
  <si>
    <t>695513.01.01</t>
  </si>
  <si>
    <t>Теория и методы стоимостной оценки машин и оборуд.: Уч.пос. / С.А.Смоляк - М.:НИЦ ИНФРА-М,2022 - 390 с.(ВО)(П)</t>
  </si>
  <si>
    <t>ТЕОРИЯ И МЕТОДЫ СТОИМОСТНОЙ ОЦЕНКИ МАШИН И ОБОРУДОВАНИЯ</t>
  </si>
  <si>
    <t>Смоляк С.А.</t>
  </si>
  <si>
    <t>978-5-16-015398-8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</si>
  <si>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1 от 12.01.2022)</t>
  </si>
  <si>
    <t>Центральный экономико-математический институт Российской академии наук</t>
  </si>
  <si>
    <t>468600.04.01</t>
  </si>
  <si>
    <t>Теория и организация экологического аудита: Моногр. / Л.В.Чхутиашвили - М.:НИЦ ИНФРА-М,2022 - 308 с.(П)</t>
  </si>
  <si>
    <t>ТЕОРИЯ И ОРГАНИЗАЦИЯ ЭКОЛОГИЧЕСКОГО АУДИТА</t>
  </si>
  <si>
    <t>Чхутиашвили Л.В.</t>
  </si>
  <si>
    <t>978-5-16-011552-8</t>
  </si>
  <si>
    <t>21.02.10, 05.03.06, 38.04.09, 38.04.01, 38.04.08, 38.03.01</t>
  </si>
  <si>
    <t>123200.10.01</t>
  </si>
  <si>
    <t>Теория и прак. анализа финанс. отчет. орг.: Уч.пос. / Парушина Н.В., - 2 изд.-М.:ИД Форум, НИЦ ИНФРА-М,2024-430с(П)</t>
  </si>
  <si>
    <t>ТЕОРИЯ И ПРАКТИКА АНАЛИЗА ФИНАНСОВОЙ ОТЧЕТНОСТИ ОРГАНИЗАЦИЙ, ИЗД.2</t>
  </si>
  <si>
    <t>Бутенко И.В., Губин В.Е., Губина О.В. и др.</t>
  </si>
  <si>
    <t>978-5-8199-0892-1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</si>
  <si>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7 от 22.09.2021)</t>
  </si>
  <si>
    <t>123200.07.01</t>
  </si>
  <si>
    <t>Теория и практика анализа финансовой отчетности организаций: уч.пос. / Н.В.Парушина и др.-М.:ИД Форум, ИНФРА-М Издательский Дом,2018.-432 с..-(Высшее</t>
  </si>
  <si>
    <t>ТЕОРИЯ И ПРАКТИКА АНАЛИЗА ФИНАНСОВОЙ ОТЧЕТНОСТИ ОРГАНИЗАЦИЙ</t>
  </si>
  <si>
    <t>Парушина Н. В., Бутенко И. В., Губин В. Е., Губина О. В., Деминова С. В., Сучкова Н. А., Тимофеева Т. А.</t>
  </si>
  <si>
    <t>978-5-8199-0423-7</t>
  </si>
  <si>
    <t>Рекомендовано УМО по образ. в области финансов, учета и мировой экономики в кач-ве учеб. пос. для студ., обуч. по спец.: 080105 "Финансы и кредит", 080109 "Бухгалтерский учет, анализ и аудит", 080107 "Налоги и налогообл."</t>
  </si>
  <si>
    <t>640142.04.01</t>
  </si>
  <si>
    <t>Теория и практика провед. денежно-кредитной полит..: Моногр. / И.Н.Юдина-М.:НИЦ ИНФРА-М,2022-109с(О)</t>
  </si>
  <si>
    <t>ТЕОРИЯ И ПРАКТИКА ПРОВЕДЕНИЯ ДЕНЕЖНО-КРЕДИТНОЙ ПОЛИТИКИ В СТРАНАХ С ФОРМИРУЮЩИМИСЯ РЫНКАМИ</t>
  </si>
  <si>
    <t>Юдина И.Н.</t>
  </si>
  <si>
    <t>978-5-16-012275-5</t>
  </si>
  <si>
    <t>127700.07.01</t>
  </si>
  <si>
    <t>Теория стоимости компании / М.В.Кудина-М.:ИД ФОРУМ, ИНФРА-М Изд. Дом,2023.-368 с.(П)</t>
  </si>
  <si>
    <t>ТЕОРИЯ СТОИМОСТИ КОМПАНИИ</t>
  </si>
  <si>
    <t>Кудина М. В.</t>
  </si>
  <si>
    <t>978-5-8199-0431-2</t>
  </si>
  <si>
    <t>00.05.13, 00.03.13, 38.04.01, 38.03.01</t>
  </si>
  <si>
    <t>698301.07.01</t>
  </si>
  <si>
    <t>Технический анализ и трейдинг на фин. рынке: Уч.пос. / А.Ю.Михайлов-М.:НИЦ ИНФРА-М,2024.-101 с.(ВО)(О)</t>
  </si>
  <si>
    <t>ТЕХНИЧЕСКИЙ АНАЛИЗ И ТРЕЙДИНГ НА ФИНАНСОВОМ РЫНКЕ</t>
  </si>
  <si>
    <t>978-5-16-014669-0</t>
  </si>
  <si>
    <t>803567.01.01</t>
  </si>
  <si>
    <t>Технологии кредитования мал. и сред. бизнеса в усл. цифр. экон.: Моногр. / Н.И.Морозко-М.:НИЦ ИНФРА-М,2023-328с.(о)</t>
  </si>
  <si>
    <t>ТЕХНОЛОГИИ КРЕДИТОВАНИЯ МАЛОГО  И СРЕДНЕГО БИЗНЕСА В УСЛОВИЯХ ЦИФРОВИЗАЦИИ ЭКОНОМИКИ</t>
  </si>
  <si>
    <t>Морозко Н.И., Морозко Н.И.</t>
  </si>
  <si>
    <t>978-5-16-018567-5</t>
  </si>
  <si>
    <t>Июнь, 2023</t>
  </si>
  <si>
    <t>702621.02.01</t>
  </si>
  <si>
    <t>Управление гос. (муниципальными) закупками: Уч.пос. / Г.Т.Гафурова-М.:НИЦ ИНФРА-М,2021.-331с.(ВО)(П)</t>
  </si>
  <si>
    <t>УПРАВЛЕНИЕ ГОСУДАРСТВЕННЫМИ (МУНИЦИПАЛЬНЫМИ) ЗАКУПКАМИ</t>
  </si>
  <si>
    <t>Гафурова Г.Т.</t>
  </si>
  <si>
    <t>978-5-16-015094-9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</si>
  <si>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38.04.01 «Экономика» (квалификация (степень) «магистр») (протокол № 6 от 25.03.2019)</t>
  </si>
  <si>
    <t>Казанский инновационный университет им. В.Г. Тимирясова</t>
  </si>
  <si>
    <t>250400.08.01</t>
  </si>
  <si>
    <t>Управление гос. и муниц. финансами: Уч./Н.Д.Шимширт - М:Альфа-М:ИНФРА-М,2024-352с (п)</t>
  </si>
  <si>
    <t>УПРАВЛЕНИЕ ГОСУДАРСТВЕННЫМИ И МУНИЦИПАЛЬНЫМИ ФИНАНСАМИ</t>
  </si>
  <si>
    <t>Шимширт Н. Д., Крашенникова Н. В.</t>
  </si>
  <si>
    <t>978-5-98281-376-3</t>
  </si>
  <si>
    <t>38.03.04, 44.03.05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</si>
  <si>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высших учебных заведений, обучающихся по направлению подг</t>
  </si>
  <si>
    <t>Национальный исследовательский Томский государственный университет</t>
  </si>
  <si>
    <t>683160.04.01</t>
  </si>
  <si>
    <t>Управление денежными потоками. Практикум: Уч.пос. / П.Е.Жуков - М.:НИЦ ИНФРА-М,2023 - 186 с.-(ВО)(П)</t>
  </si>
  <si>
    <t>УПРАВЛЕНИЕ ДЕНЕЖНЫМИ ПОТОКАМИ. ПРАКТИКУМ</t>
  </si>
  <si>
    <t>Жуков П.Е.</t>
  </si>
  <si>
    <t>978-5-16-014972-1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</si>
  <si>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 (протокол  № 12 от 24.06.2019)</t>
  </si>
  <si>
    <t>395500.07.01</t>
  </si>
  <si>
    <t>Управление денежными потоками: Уч. / И.Я.Лукасевич - М.:Вуз.уч., НИЦ ИНФРА-М,2024 - 184 с.-(ВО)(П)</t>
  </si>
  <si>
    <t>УПРАВЛЕНИЕ ДЕНЕЖНЫМИ ПОТОКАМИ</t>
  </si>
  <si>
    <t>Лукасевич И.Я., Жуков П.Е.</t>
  </si>
  <si>
    <t>978-5-9558-0461-3</t>
  </si>
  <si>
    <t>38.03.01, 38.03.06</t>
  </si>
  <si>
    <t>100780.07.01</t>
  </si>
  <si>
    <t>Управление инвестиц. деят. в регионах РФ: Моногр. / О.Ф.Быстров.-М.:НИЦ ИНФРА-М,2022.-357 с.(Науч.мысль)(П)</t>
  </si>
  <si>
    <t>УПРАВЛЕНИЕ ИНВЕСТИЦИОННОЙ ДЕЯТЕЛЬНОСТЬЮ В РЕГИОНАХ РОССИЙСКОЙ ФЕДЕРАЦИИ</t>
  </si>
  <si>
    <t>Быстров О. Ф., Поздняков В. Я., Прудников В. М., Перцов В. В., Казаков С. В.</t>
  </si>
  <si>
    <t>978-5-16-003075-3</t>
  </si>
  <si>
    <t>Московский институт электронной техники</t>
  </si>
  <si>
    <t>181300.05.01</t>
  </si>
  <si>
    <t>Управление ликвидностью в рос. комм. банке: Уч. пос./В.В.Астрелина - ИД ФОРУМ:НИЦ Инфра-М, 2020-176с (п)</t>
  </si>
  <si>
    <t>УПРАВЛЕНИЕ ЛИКВИДНОСТЬЮ В РОССИЙСКОМ КОММЕРЧЕСКОМ БАНКЕ</t>
  </si>
  <si>
    <t>Астрелина В. В., Бондарчук П. К., Шальнов П. С.</t>
  </si>
  <si>
    <t>978-5-8199-0508-1</t>
  </si>
  <si>
    <t>Газпромбанк</t>
  </si>
  <si>
    <t>149620.08.01</t>
  </si>
  <si>
    <t>Управление оборотными активами: логист. подход: Моногр. / И.В.Бабенко-М.:НИЦ ИНФРА-М,2024-167с(О)</t>
  </si>
  <si>
    <t>УПРАВЛЕНИЕ ОБОРОТНЫМИ АКТИВАМИ: ЛОГИСТИЧЕСКИЙ ПОДХОД</t>
  </si>
  <si>
    <t>Бабенко И.В., Тиньков С.А.</t>
  </si>
  <si>
    <t>978-5-16-004904-5</t>
  </si>
  <si>
    <t>204100.06.01</t>
  </si>
  <si>
    <t>Управление проблемной банковской задолжен.:Уч. / А.М.Смулов -М.:НИЦ ИНФРА-М,2022 - 352с.(ВО:Бакалавр.) (п)</t>
  </si>
  <si>
    <t>УПРАВЛЕНИЕ ПРОБЛЕМНОЙ БАНКОВСКОЙ ЗАДОЛЖЕННОСТЬЮ</t>
  </si>
  <si>
    <t>Смулов А. М., Смулов А. М.</t>
  </si>
  <si>
    <t>978-5-16-006647-9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</si>
  <si>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 (квалификация (</t>
  </si>
  <si>
    <t>Православный Свято-Тихоновский гуманитарный университет</t>
  </si>
  <si>
    <t>216300.07.01</t>
  </si>
  <si>
    <t>Управление стоимостью промыш. предприятий: Уч.пос. / В.А.Макарова-М.:НИЦ ИНФРА-М,2024.-188 с.(ВО)(о)</t>
  </si>
  <si>
    <t>УПРАВЛЕНИЕ СТОИМОСТЬЮ ПРОМЫШЛЕННЫХ ПРЕДПРИЯТИЙ</t>
  </si>
  <si>
    <t>Макарова В. А., Крылов А. А.</t>
  </si>
  <si>
    <t>978-5-16-006911-1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</si>
  <si>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080200.68 "Менеджмент" (квалификация (степень) «маги</t>
  </si>
  <si>
    <t>653343.03.01</t>
  </si>
  <si>
    <t>Управление суверенной задолженностью: Уч.пос. / В.В.Кузнецова-М.:НИЦ ИНФРА-М,2020.-255 с..-(ВО)(П)</t>
  </si>
  <si>
    <t>УПРАВЛЕНИЕ СУВЕРЕННОЙ ЗАДОЛЖЕННОСТЬЮ</t>
  </si>
  <si>
    <t>978-5-16-013080-4</t>
  </si>
  <si>
    <t>38.04.01, 38.03.01, 38.03.02, 38.03.04, 44.03.01, 44.03.05</t>
  </si>
  <si>
    <t>053600.08.01</t>
  </si>
  <si>
    <t>Управление финансами...: Уч. / Под ред. Володина А.А., - 3 изд.-М.:НИЦ ИНФРА-М,2023.-364 с.(ВО)(П)</t>
  </si>
  <si>
    <t>УПРАВЛЕНИЕ ФИНАНСАМИ. ФИНАНСЫ ПРЕДПРИЯТИЙ, ИЗД.3</t>
  </si>
  <si>
    <t>Володин А.А., Самсонов Н.Ф., Бурмистрова Л.А. и др.</t>
  </si>
  <si>
    <t>978-5-16-009173-0</t>
  </si>
  <si>
    <t>Рекомендовано Советом Учебно-методического объединения вузов России по образованию в области менеджмента в качестве учебника по специальности  "Менеджмент организации"</t>
  </si>
  <si>
    <t>350900.04.01</t>
  </si>
  <si>
    <t>Управление ценами: Уч. / Карпов С.В.-М.:Вуз. уч., НИЦ ИНФРА-М,2022.-236 с..(Прикладной бакалавр.)(П)</t>
  </si>
  <si>
    <t>УПРАВЛЕНИЕ ЦЕНАМИ</t>
  </si>
  <si>
    <t>Карпова С.В., Русин В.Н., Рожков И.В. и др.</t>
  </si>
  <si>
    <t>Прикладной бакалавриат</t>
  </si>
  <si>
    <t>978-5-9558-0432-3</t>
  </si>
  <si>
    <t>Рекомендовано Учебно-методическим отделом высшего образования в качестве учебника для студентов высших учебных заведений, обучающихся по экономическим направлениям и специальностям</t>
  </si>
  <si>
    <t>634746.06.01</t>
  </si>
  <si>
    <t>Управленческий учет в бюджетных учреж.: Уч. / Под ред. Вахрушиной М.А.-М.:Вуз. уч., НИЦ ИНФРА-М,2024.-154 с.(П)</t>
  </si>
  <si>
    <t>УПРАВЛЕНЧЕСКИЙ УЧЕТ В БЮДЖЕТНЫХ УЧРЕЖДЕНИЯХ</t>
  </si>
  <si>
    <t>Вахрушина М.А., Демина И.Д., Сидорова М.И. и др.</t>
  </si>
  <si>
    <t>978-5-9558-0507-8</t>
  </si>
  <si>
    <t>Профессиональное образование / ВО - Кадры высшей квалификации</t>
  </si>
  <si>
    <t>791864.03.01</t>
  </si>
  <si>
    <t>Управленческий учет в контексте устойчивого развития / М.А.Вахрушина-М.:НИЦ ИНФРА-М,2023.-250 с.(О)</t>
  </si>
  <si>
    <t>УПРАВЛЕНЧЕСКИЙ УЧЕТ В КОНТЕКСТЕ УСТОЙЧИВОГО РАЗВИТИЯ: ВОЗМОЖНОСТИ И ПЕРСПЕКТИВЫ</t>
  </si>
  <si>
    <t>Вахрушина М.А., Андреева М.П., Анисимов А.С. и др.</t>
  </si>
  <si>
    <t>978-5-16-018102-8</t>
  </si>
  <si>
    <t>430800.08.01</t>
  </si>
  <si>
    <t>Управленческий учет в сельском хозяйстве:Уч./ Л.И.Хоружий - М.: НИЦ ИНФРА-М,2024-207с.(ВО:Бакалавр.) (п)</t>
  </si>
  <si>
    <t>УПРАВЛЕНЧЕСКИЙ УЧЕТ В СЕЛЬСКОМ ХОЗЯЙСТВЕ</t>
  </si>
  <si>
    <t>Хоружий Л. И., Костина О. И., Губернаторова Н. Н., Сергеева И. А., Хоружий Л. И.</t>
  </si>
  <si>
    <t>978-5-16-006407-9</t>
  </si>
  <si>
    <t>Рекомендовано Учебно-методическим объединением по образованию в области финансов, учета и мировой экономики в качестве учебника для студентов сельскохозяйственных вузов</t>
  </si>
  <si>
    <t>411350.05.01</t>
  </si>
  <si>
    <t>Управленческий учет и анализ испол. тех.оснастки: Моногр./С.А.Калиновский-М.:НИЦ ИНФРА-М,2023-156с.</t>
  </si>
  <si>
    <t>УПРАВЛЕНЧЕСКИЙ УЧЕТ И АНАЛИЗ ИСПОЛЬЗОВАНИЯ ТЕХНОЛОГИЧЕСКОЙ ОСНАСТКИ</t>
  </si>
  <si>
    <t>Калиновский С. А.</t>
  </si>
  <si>
    <t>978-5-16-006454-3</t>
  </si>
  <si>
    <t>133350.09.01</t>
  </si>
  <si>
    <t>Управленческий учет и анализ.С пример.из рос.практ.:Уч.пос./В.И.Петрова-М.:НИЦ ИНФРА-М,2024-303c(ВО)</t>
  </si>
  <si>
    <t>УПРАВЛЕНЧЕСКИЙ УЧЕТ И АНАЛИЗ. С ПРИМЕРАМИ ИЗ РОССИЙСКОЙ И ЗАРУБЕЖНОЙ ПРАКТИКИ</t>
  </si>
  <si>
    <t>Петрова В. И., Петров А. Ю., Кобищан И. В., Козельцева Е. А.</t>
  </si>
  <si>
    <t>978-5-16-009750-3</t>
  </si>
  <si>
    <t>461650.04.01</t>
  </si>
  <si>
    <t>Управленческий учет и защита учет. информ.: тесты: Уч. пос. /И.Е. Мизиковский-М:Магистр: ИНФРА-М, 2023 - 112с (о)</t>
  </si>
  <si>
    <t>УПРАВЛЕНЧЕСКИЙ УЧЕТ И ЗАЩИТА УЧЕТНОЙ ИНФОРМАЦИИ: ТЕСТЫ</t>
  </si>
  <si>
    <t>Мизиковский И. Е., Милосердова А. Н., Ясенев В. Н.</t>
  </si>
  <si>
    <t>978-5-9776-0303-4</t>
  </si>
  <si>
    <t>653183.03.01</t>
  </si>
  <si>
    <t>Управленческий учет и отчетность по сегментам: Монография / О.Р.Кондрашова-М.:НИЦ ИНФРА-М,2020.-236 с..-(Науч.мысль)(П 7БЦ)</t>
  </si>
  <si>
    <t>УПРАВЛЕНЧЕСКИЙ УЧЕТ И ОТЧЕТНОСТЬ ПО СЕГМЕНТАМ</t>
  </si>
  <si>
    <t>Кондрашова О.Р.</t>
  </si>
  <si>
    <t>978-5-16-012714-9</t>
  </si>
  <si>
    <t>38.04.01, 38.04.08, 38.04.06, 38.04.02, 38.03.01, 38.03.06, 38.03.02, 41.03.06</t>
  </si>
  <si>
    <t>746506.01.01</t>
  </si>
  <si>
    <t>Управленческий учет расходов промыш. предпр.: Моногр. / В.И.Осипов-М.:НИЦ ИНФРА-М,2021.-199 с.(Науч.мысль)(О)</t>
  </si>
  <si>
    <t>УПРАВЛЕНЧЕСКИЙ УЧЕТ РАСХОДОВ ПРОМЫШЛЕННОГО ПРЕДПРИЯТИЯ</t>
  </si>
  <si>
    <t>978-5-16-016646-9</t>
  </si>
  <si>
    <t>38.04.01, 38.06.01, 38.03.01, 38.03.02, 41.03.06</t>
  </si>
  <si>
    <t>469250.04.01</t>
  </si>
  <si>
    <t>Управленческий учет: Уч. пос. / Под ред. Ю.И.Сигидова - М.:НИЦ ИНФРА-М,2023 -240с.(ВО:Бакалавр.) (п)</t>
  </si>
  <si>
    <t>УПРАВЛЕНЧЕСКИЙ УЧЕТ</t>
  </si>
  <si>
    <t>978-5-16-009948-4</t>
  </si>
  <si>
    <t>38.04.01, 38.04.02, 38.03.01, 38.03.02, 41.03.06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</si>
  <si>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з качестве учебного пособия для студентов высших учебных заведений, обучающихся по направлениям подготовки 38.03.01.62 "Экономика», 38.03.02.62 «Менеджмент» (квалификация (степень) «бакалавр»)</t>
  </si>
  <si>
    <t>424100.06.01</t>
  </si>
  <si>
    <t>Учебный банк: Уч. / Под ред. Звоновой Е.А.-М.:НИЦ ИНФРА-М,2024.-320 с..-(ВО: Бакалавр.)(п)</t>
  </si>
  <si>
    <t>УЧЕБНЫЙ БАНК</t>
  </si>
  <si>
    <t>Звонова Е. А., Смулов А. М., Астахов Г. И., Звонова Е. А.</t>
  </si>
  <si>
    <t>978-5-16-006071-2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</si>
  <si>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учебника для студентов высших учебных заведений, обучающихся по направлению подготовки 080100 «Экономика», профили «Финан</t>
  </si>
  <si>
    <t>443950.07.01</t>
  </si>
  <si>
    <t>Учет внешнеэкономической деят.: Уч.пос. / Под ред. Петрова А.М.-М.:Вуз. уч., НИЦ ИНФРА-М,2024.-176 с.(П)</t>
  </si>
  <si>
    <t>УЧЕТ ВНЕШНЕЭКОНОМИЧЕСКОЙ ДЕЯТЕЛЬНОСТИ</t>
  </si>
  <si>
    <t>Петров А. М., Листопад Е. Е., Кокина Т. Н., Петров А. М.</t>
  </si>
  <si>
    <t>978-5-9558-0318-0</t>
  </si>
  <si>
    <t>38.04.09, 38.04.01, 38.04.08</t>
  </si>
  <si>
    <t>657600.04.01</t>
  </si>
  <si>
    <t>Учет затрат и калькулирование себестоимости: Уч.пос. / Н.Н.Бондин - М.:НИЦ ИНФРА-М,2022-254с(ВО)(П)</t>
  </si>
  <si>
    <t>УЧЕТ ЗАТРАТ И КАЛЬКУЛИРОВАНИЕ СЕБЕСТОИМОСТИ</t>
  </si>
  <si>
    <t>Бондина Н.Н., Бондин И.А., Павлова И.В. и др.</t>
  </si>
  <si>
    <t>978-5-16-013448-2</t>
  </si>
  <si>
    <t>682890.03.01</t>
  </si>
  <si>
    <t>Учет затрат и калькулирование себестоимости: Уч.пос. / Н.Н.Бондина.-М.:НИЦ ИНФРА-М,2023.-254с(СПО)(П)</t>
  </si>
  <si>
    <t>978-5-16-013932-6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</si>
  <si>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</si>
  <si>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660873.03.01</t>
  </si>
  <si>
    <t>Учет и анализ банкротств: Уч.пос. / И.А.Астраханцева - 2 изд. - М.:НИЦ ИНФРА-М,2023 - 377 с.(ВО)(П)</t>
  </si>
  <si>
    <t>УЧЕТ И АНАЛИЗ БАНКРОТСТВ, ИЗД.2</t>
  </si>
  <si>
    <t>Астраханцева И.А., Кукукина И.Г.</t>
  </si>
  <si>
    <t>978-5-16-013700-1</t>
  </si>
  <si>
    <t>38.04.01, 38.04.08, 38.04.06, 38.04.02, 38.04.04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</si>
  <si>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38.00.00 «Экономика и управление» (квалификация (степень) «магистр») (протокол № 5 от 19.05.2021)</t>
  </si>
  <si>
    <t>Ивановский государственный химико-технологический университет</t>
  </si>
  <si>
    <t>314200.04.01</t>
  </si>
  <si>
    <t>Учет и анализ в условиях ценностно-ориентир. упр.: Моногр. / О.Г.Гордеева - М.: ИНФРА-М,2022 - 136 с.(О)</t>
  </si>
  <si>
    <t>УЧЕТ И АНАЛИЗ В УСЛОВИЯХ ЦЕННОСТНО-ОРИЕНТИРОВАННОГО УПРАВЛЕНИЯ</t>
  </si>
  <si>
    <t>Гордеева О.Г., Серебрякова Т.Ю.</t>
  </si>
  <si>
    <t>978-5-16-010365-5</t>
  </si>
  <si>
    <t>632347.02.01</t>
  </si>
  <si>
    <t>Учет и контроль в субъектах малого бизнеса...: Моногр. / Т.А.Корнеева-М.:НИЦ ИНФРА-М,2018-118с.(О)</t>
  </si>
  <si>
    <t>УЧЕТ И КОНТРОЛЬ В СУБЪЕКТАХ МАЛОГО БИЗНЕСА: РИСК-ОРИЕНТИРОВАННЫЙ ПОДХОД</t>
  </si>
  <si>
    <t>Корнеева Т.А., Татаровская Т.Е.</t>
  </si>
  <si>
    <t>978-5-16-011983-0</t>
  </si>
  <si>
    <t>Самарский государственный экономический университет</t>
  </si>
  <si>
    <t>183100.09.01</t>
  </si>
  <si>
    <t>Учет и операционная техника в банках: Уч. пос./ В.К.Немчинов-2изд.-М.:Вуз.уч.:НИЦ Инфра-М,2023-348с. (п)</t>
  </si>
  <si>
    <t>УЧЕТ И ОПЕРАЦИОННАЯ ТЕХНИКА В БАНКАХ, ИЗД.2</t>
  </si>
  <si>
    <t>Немчинов В. К., Рогозенков А. В.</t>
  </si>
  <si>
    <t>978-5-9558-0239-8</t>
  </si>
  <si>
    <t>Рекомендовано Научно-методическим советом по заочному экономическому образованию в качестве учебного пособия для студентов высших учебных заведений, обучающихся по направлению подготовки 080100.62 "Экономика"</t>
  </si>
  <si>
    <t>676189.02.01</t>
  </si>
  <si>
    <t>Учет на предприятиях малого бизнеса: Уч. / О.Е.Иванова - М.:ИЦ РИОР, НИЦ ИНФРА-М,2020 - 172 с.(О)</t>
  </si>
  <si>
    <t>УЧЕТ НА ПРЕДПРИЯТИЯХ МАЛОГО БИЗНЕСА</t>
  </si>
  <si>
    <t>Иванова О.Е.</t>
  </si>
  <si>
    <t>978-5-369-01746-3</t>
  </si>
  <si>
    <t>Костромская государственная сельскохозяйственная академия</t>
  </si>
  <si>
    <t>127650.08.01</t>
  </si>
  <si>
    <t>Учет произв. и калькул. себестоим. прод. в..: Уч. пос. / В.А.Пипко - М.: Вуз. уч., 2022 - 208с. (п)</t>
  </si>
  <si>
    <t>УЧЕТ ПРОИЗВОДСТВА И КАЛЬКУЛИРОВАНИЕ СЕБЕСТОИМОСТИ ПРОДУКЦИИ В УСЛОВИЯХ АГРОБИЗНЕСА</t>
  </si>
  <si>
    <t>Пипко В. А.</t>
  </si>
  <si>
    <t>978-5-9558-0146-9</t>
  </si>
  <si>
    <t>Ставропольский государственный аграрный университет</t>
  </si>
  <si>
    <t>409200.09.01</t>
  </si>
  <si>
    <t>Учет, анализ и бюджетирование денеж. потоков: Уч.пос./ Т.П.Карпова-М.:Вуз. уч.:НИЦ Инфра-М,2023-302с (п)</t>
  </si>
  <si>
    <t>УЧЕТ, АНАЛИЗ И БЮДЖЕТИРОВАНИЕ ДЕНЕЖНЫХ ПОТОКОВ</t>
  </si>
  <si>
    <t>Карпова Т. П., Карпова В. В.</t>
  </si>
  <si>
    <t>978-5-9558-0243-5</t>
  </si>
  <si>
    <t>38.02.04, 38.02.07, 38.02.03, 38.04.01, 38.04.02, 38.03.01, 38.03.02, 41.03.06</t>
  </si>
  <si>
    <t>423750.05.01</t>
  </si>
  <si>
    <t>Учет, анализ, аудит: Уч.пос. / Е.А.Еленевская и др. - 2 изд. - М.:НИЦ ИНФРА-М,2023 - 365 с.(ВО)(П)</t>
  </si>
  <si>
    <t>УЧЕТ, АНАЛИЗ, АУДИТ, ИЗД.2</t>
  </si>
  <si>
    <t>Еленевская Е.А., Ким Л.И., Христолюбов С.Н. и др.</t>
  </si>
  <si>
    <t>978-5-16-013991-3</t>
  </si>
  <si>
    <t>423750.03.01</t>
  </si>
  <si>
    <t>Учет, анализ, аудит: Уч.пос. / Е.А.Еленевская и др.-М.:НИЦ ИНФРА-М,2016.-345 с.-(ВО: Бакалавриат)(П)</t>
  </si>
  <si>
    <t>УЧЕТ, АНАЛИЗ, АУДИТ</t>
  </si>
  <si>
    <t>978-5-16-006578-6</t>
  </si>
  <si>
    <t>471450.06.01</t>
  </si>
  <si>
    <t>Учет, отчетность и анализ в усл. антикризис. упр.: Уч.пос. /Хоружий Л.И.- 2 изд.-М.:НИЦ ИНФРА-М,2023.-308с.</t>
  </si>
  <si>
    <t>УЧЕТ, ОТЧЕТНОСТЬ И АНАЛИЗ В УСЛОВИЯХ АНТИКРИЗИСНОГО УПРАВЛЕНИЯ, ИЗД.2</t>
  </si>
  <si>
    <t>Хоружий Л.И., Турчаева И.Н., Кокорев Н.А.</t>
  </si>
  <si>
    <t>978-5-16-014551-8</t>
  </si>
  <si>
    <t>Рекомендовано Учебно-методическим объединением в качестве учебного пособия для студентов, обучающихся по направлениям подготовки «Экономика», «Менеджмент», специальности «Экономическая безопасность»</t>
  </si>
  <si>
    <t>471450.03.01</t>
  </si>
  <si>
    <t>Учет, отчетность и анализ в усл. антикризис. упр.: Уч.пос. /Хоружий Л.И.-М.:НИЦ ИНФРА-М,2018-320с.</t>
  </si>
  <si>
    <t>УЧЕТ, ОТЧЕТНОСТЬ И АНАЛИЗ В УСЛОВИЯХ АНТИКРИЗИСНОГО УПРАВЛЕНИЯ</t>
  </si>
  <si>
    <t>978-5-16-010052-4</t>
  </si>
  <si>
    <t>Рекомендовано Учебно-методическим объединением в качестве учебного пособия для студентов, обучающихся по направлениям подготовки «Экономика», "Менеджмент»</t>
  </si>
  <si>
    <t>153400.06.01</t>
  </si>
  <si>
    <t>Учет, оценка доходности и анализ фин. вложений: Уч. пос. / В.Н.Едронова - М.: Магистр, 2023-368с. (п)</t>
  </si>
  <si>
    <t>УЧЕТ, ОЦЕНКА ДОХОДНОСТИ И АНАЛИЗ ФИНАНСОВЫХ ВЛОЖЕНИЙ</t>
  </si>
  <si>
    <t>Едронова В. Н., Мизиковский Е. А.</t>
  </si>
  <si>
    <t>978-5-9776-0195-5</t>
  </si>
  <si>
    <t>38.04.01, 38.04.02, 38.03.01</t>
  </si>
  <si>
    <t>138750.08.01</t>
  </si>
  <si>
    <t>Факторинг: Уч.пос. / И.Е.Покаместов - М.:НИЦ ИНФРА-М,2020 - 88 с.-(ВО: Бакалавриат)(О)</t>
  </si>
  <si>
    <t>ФАКТОРИНГ</t>
  </si>
  <si>
    <t>Покаместов И. Е., Леднев М. В.</t>
  </si>
  <si>
    <t>978-5-16-004128-5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</si>
  <si>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специальности «Финансы и кредит»</t>
  </si>
  <si>
    <t>138750.14.01</t>
  </si>
  <si>
    <t>Факторинг: Уч.пос. / И.Е.Покаместов, - 2-е изд.-М.:НИЦ ИНФРА-М,2023.-132 с.(ВО)(п)</t>
  </si>
  <si>
    <t>ФАКТОРИНГ, ИЗД.2</t>
  </si>
  <si>
    <t>Покаместов И.Е., Леднев М.В.</t>
  </si>
  <si>
    <t>978-5-16-018867-6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</si>
  <si>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11 от 09.11.2020)</t>
  </si>
  <si>
    <t>210800.06.01</t>
  </si>
  <si>
    <t>Философия финансового рынка: Моногр. / В.Д.Миловидов - М.:Магистр,2022 - 272 с.(П)</t>
  </si>
  <si>
    <t>ФИЛОСОФИЯ ФИНАНСОВОГО РЫНКА</t>
  </si>
  <si>
    <t>Миловидов В. Д.</t>
  </si>
  <si>
    <t>978-5-9776-0277-8</t>
  </si>
  <si>
    <t>430450.06.01</t>
  </si>
  <si>
    <t>Финансирование инноваций: Уч. пос./Т.Ю.Трифоненкова - М.: НИЦ ИНФРА-М, 2023-141с.(ВО: Бакалавриат) (о)</t>
  </si>
  <si>
    <t>ФИНАНСИРОВАНИЕ ИННОВАЦИЙ</t>
  </si>
  <si>
    <t>Трифоненкова Т. Ю.</t>
  </si>
  <si>
    <t>978-5-16-006652-3</t>
  </si>
  <si>
    <t>27.03.05, 27.04.07, 38.04.01, 38.04.08, 38.04.02, 22.04.02, 27.04.05, 38.03.01, 38.03.02, 44.03.01, 41.03.06</t>
  </si>
  <si>
    <t>281100.02.01</t>
  </si>
  <si>
    <t>Финансовая архитектура компаний. Сравнительные исслед...:Моногр./И.В.Ивашковская-М:ИНФРА-М,2015-238с (п)</t>
  </si>
  <si>
    <t>ФИНАНСОВАЯ АРХИТЕКТУРА КОМПАНИЙ. СРАВНИТЕЛЬНЫЕ ИССЛЕДОВАНИЯ НА РАЗВИТЫХ И РАЗВИВАЮЩИХСЯ РЫНКАХ</t>
  </si>
  <si>
    <t>Ивашковская И. В., Степанова А. Н., Кокорева М. С., Ивашковская И. В.</t>
  </si>
  <si>
    <t>978-5-16-010117-0</t>
  </si>
  <si>
    <t>732745.04.01</t>
  </si>
  <si>
    <t>Финансовая грамотность и устойчивое развитие..: Моногр./ Н.А.Поветкина-М.:Юр.Норма, НИЦ ИНФРА-М,2023.-104 с.(О)</t>
  </si>
  <si>
    <t>ФИНАНСОВАЯ ГРАМОТНОСТЬ И УСТОЙЧИВОЕ РАЗВИТИЕ В ЦИФРОВУЮ ЭПОХУ (ПРАВОВОЕ  ИЗМЕРЕНИЕ)</t>
  </si>
  <si>
    <t>Поветкина Н.А., Кудряшова Е.В.</t>
  </si>
  <si>
    <t>978-5-00156-055-5</t>
  </si>
  <si>
    <t>38.04.09, 38.04.01, 38.04.08, 38.06.01</t>
  </si>
  <si>
    <t>776701.02.01</t>
  </si>
  <si>
    <t>Финансовая грамотность: Уч.пос. / А.Ю.Баранова-М.:НИЦ ИНФРА-М,2024.-225 с.(ВО)(п)</t>
  </si>
  <si>
    <t>ФИНАНСОВАЯ ГРАМОТНОСТЬ</t>
  </si>
  <si>
    <t>Баранова А.Ю.</t>
  </si>
  <si>
    <t>978-5-16-017667-3</t>
  </si>
  <si>
    <t>441350.07.01</t>
  </si>
  <si>
    <t>Финансовая математика: Уч.пос. / А.С.Чуйко-М.:НИЦ ИНФРА-М,2024-160с.(ВО: Бакалавриат)(П)</t>
  </si>
  <si>
    <t>ФИНАНСОВАЯ МАТЕМАТИКА</t>
  </si>
  <si>
    <t>Чуйко А. С., Шершнев В. Г.</t>
  </si>
  <si>
    <t>978-5-16-015641-5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</si>
  <si>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11 от 11.06.2019)</t>
  </si>
  <si>
    <t>457750.07.01</t>
  </si>
  <si>
    <t>Финансовая математика: Уч.пос. для магистров / П.Н.Брусов-М.:НИЦ ИНФРА-М,2022.-481 с.(ВО: Магистр.)(П)</t>
  </si>
  <si>
    <t>Брусов П. Н., Филатова Т. В.</t>
  </si>
  <si>
    <t>978-5-16-005134-5</t>
  </si>
  <si>
    <t>25.04.03, 01.04.02, 38.04.01, 38.04.08, 38.04.06, 38.04.05, 09.04.03, 38.03.01, 38.03.02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</si>
  <si>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направлениям «Экономика», «Финансы и кредит» (степень — магистр)</t>
  </si>
  <si>
    <t>258400.05.01</t>
  </si>
  <si>
    <t>Финансовая политика в сфере инноваций...: Моногр./Под. ред. О.Н.Владимировой- М:ИНФРА-М,2018-230с(о)</t>
  </si>
  <si>
    <t>ФИНАНСОВАЯ ПОЛИТИКА В СФЕРЕ ИННОВАЦИЙ: ПРОБЛЕМЫ ФОРМИРОВАНИЯ И РЕАЛИЗАЦИИ</t>
  </si>
  <si>
    <t>Владимирова О.Н., Петрова А.Т., Астраханцева И.А. и др.</t>
  </si>
  <si>
    <t>978-5-16-009484-7</t>
  </si>
  <si>
    <t>38.04.01, 38.04.02, 38.04.04, 38.03.01, 38.03.02, 38.03.04, 44.03.05, 41.03.06</t>
  </si>
  <si>
    <t>142800.11.01</t>
  </si>
  <si>
    <t>Финансовая среда предпринимательства ...: Уч. / Н.А.Казакова, - 2 изд.-М.:НИЦ ИНФРА-М,2024.-258 с.(ВО)(п)</t>
  </si>
  <si>
    <t>ФИНАНСОВАЯ СРЕДА ПРЕДПРИНИМАТЕЛЬСТВА И ПРЕДПРИНИМАТЕЛЬСКИЕ РИСКИ</t>
  </si>
  <si>
    <t>Высшее образование: Магистратура (РЭУ)</t>
  </si>
  <si>
    <t>978-5-16-018380-0</t>
  </si>
  <si>
    <t>38.04.01, 38.04.08, 38.04.06, 38.04.02, 38.05.01, 38.03.01, 38.03.02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</si>
  <si>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направлениям подготовки «Экономика» и «Менеджмент»</t>
  </si>
  <si>
    <t>257200.07.01</t>
  </si>
  <si>
    <t>Финансовая среда предпринимательства: Уч. пос. / В.Ю. Сутягин - М.: ИНФРА-М, 2023. - 269 с. (ВО)</t>
  </si>
  <si>
    <t>ФИНАНСОВАЯ СРЕДА ПРЕДПРИНИМАТЕЛЬСТВА</t>
  </si>
  <si>
    <t>Сутягин В. Ю., Беспалов М. В., Черкашнев Р. Ю.</t>
  </si>
  <si>
    <t>978-5-16-009470-0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</si>
  <si>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</t>
  </si>
  <si>
    <t>682886.03.01</t>
  </si>
  <si>
    <t>Финансовая устойчивость банка: Уч.пос. / В.В.Софронова, - 3 изд.-М.:НИЦ ИНФРА-М,2023-272 с.(ВО)(П)</t>
  </si>
  <si>
    <t>ФИНАНСОВАЯ УСТОЙЧИВОСТЬ БАНКА, ИЗД.3</t>
  </si>
  <si>
    <t>Софронова В.В.</t>
  </si>
  <si>
    <t>978-5-16-014446-7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</si>
  <si>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12 от  24.06.2019)</t>
  </si>
  <si>
    <t>720470.06.01</t>
  </si>
  <si>
    <t>Финансовое планир. и бюджетирование: Уч.пос. / Незамайкин В.Н., - 2 изд.-М.:НИЦ ИНФРА-М,2020.-112с(О)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</si>
  <si>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</si>
  <si>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</si>
  <si>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</si>
  <si>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38.02.06, 38.02.07, 38.02.01, 38.02.03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</si>
  <si>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</si>
  <si>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261000.07.01</t>
  </si>
  <si>
    <t>Финансовое планирование и бюджет.: Уч.пос. / Под ред.Незамайкина В.Н. - 2 изд.-М.:НИЦ ИНФРА-М,2023-112с(П)</t>
  </si>
  <si>
    <t>978-5-16-015981-2</t>
  </si>
  <si>
    <t>38.02.07, 38.02.01, 38.02.03, 38.04.08, 38.04.02, 23.03.01, 44.03.05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</si>
  <si>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6 от 25.03.2019)</t>
  </si>
  <si>
    <t>261000.03.01</t>
  </si>
  <si>
    <t>Финансовое планирование и бюджетирование: Уч.пос./Незамайкин В.Н.-М.:Вуз.уч.,НИЦ ИНФРА-М,2018-96с(О)</t>
  </si>
  <si>
    <t>ФИНАНСОВОЕ ПЛАНИРОВАНИЕ И БЮДЖЕТИРОВАНИЕ</t>
  </si>
  <si>
    <t>Незамайкин В.Н., Платонова Н.А., Федоров Я.П. и др.</t>
  </si>
  <si>
    <t>978-5-9558-0487-3</t>
  </si>
  <si>
    <t>052000.16.01</t>
  </si>
  <si>
    <t>Финансовое право России: Уч. / Ю.А.Крохина - 6 изд. - М.:Юр.Норма, НИЦ ИНФРА-М,2023 - 504 с.(п)</t>
  </si>
  <si>
    <t>ФИНАНСОВОЕ ПРАВО РОССИИ, ИЗД.6</t>
  </si>
  <si>
    <t>Крохина Ю. А.</t>
  </si>
  <si>
    <t>978-5-00156-069-2</t>
  </si>
  <si>
    <t>40.02.01, 40.02.02, 40.03.01, 40.04.01, 44.03.05, 40.02.03</t>
  </si>
  <si>
    <t>0620</t>
  </si>
  <si>
    <t>052000.09.01</t>
  </si>
  <si>
    <t>Финансовое право России: Уч. / Ю.А.Крохина, - 5-е изд.-М.:Юр.Норма, НИЦ ИНФРА-М,2016.-624 с.(п)</t>
  </si>
  <si>
    <t>ФИНАНСОВОЕ ПРАВО РОССИИ, ИЗД.5</t>
  </si>
  <si>
    <t>Крохина Ю.А.</t>
  </si>
  <si>
    <t>978-5-91768-530-4</t>
  </si>
  <si>
    <t>0514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</si>
  <si>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</si>
  <si>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</si>
  <si>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</si>
  <si>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</si>
  <si>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Ab ovo</t>
  </si>
  <si>
    <t>978-5-91768-952-4</t>
  </si>
  <si>
    <t>40.02.01, 40.03.01, 44.03.05</t>
  </si>
  <si>
    <t>0518</t>
  </si>
  <si>
    <t>029982.16.01</t>
  </si>
  <si>
    <t>Финансовое право: Уч. / Е.Ю.Грачева - 6 изд. - М.:Норма: НИЦ Инфра-М, 2023-256с(Ab ovo)(П) (СПО)</t>
  </si>
  <si>
    <t>ФИНАНСОВОЕ ПРАВО, ИЗД.6</t>
  </si>
  <si>
    <t>978-5-00156-319-8</t>
  </si>
  <si>
    <t>0623</t>
  </si>
  <si>
    <t>083830.04.01</t>
  </si>
  <si>
    <t>Финансовое право: Уч. / И.В.Рукавишникова, - 3-е изд.-М.:Юр. НОРМА, НИЦ ИНФРА-М,2024.-648 с.(п)</t>
  </si>
  <si>
    <t>ФИНАНСОВОЕ ПРАВО, ИЗД.3</t>
  </si>
  <si>
    <t>Рукавишникова И. В.</t>
  </si>
  <si>
    <t>978-5-00156-074-6</t>
  </si>
  <si>
    <t>40.02.01, 40.03.01, 40.04.01, 40.02.03</t>
  </si>
  <si>
    <t>Рекомендовано Учебно-методическим объединением по юридическому образованию высших учебных заведений РФ в качестве учебного пособия для студентов высших учебных заведений, обучающихся по направлению 521400 Юриспруденция и спец. 021100 Юриспруденция</t>
  </si>
  <si>
    <t>Аппарат Совета Федерации Федерального Собрания Российской Федерации</t>
  </si>
  <si>
    <t>088600.15.01</t>
  </si>
  <si>
    <t>Финансовое право: Уч. / Н.И.Химичева - 6 изд. - М.:Юр.Норма,НИЦ ИНФРА-М,2023 - 800 с.(П)</t>
  </si>
  <si>
    <t>Покачалова Е.В., Химичева Н.И., Смирнов Д.А. и др.</t>
  </si>
  <si>
    <t>978-5-91768-837-4</t>
  </si>
  <si>
    <t>Допущено Министерством образования РФ в качестве учебного пособия  для студентов вузов, обучающихся по специальности 021100 "Юриспруденция"</t>
  </si>
  <si>
    <t>Саратовская государственная юридическая академия, Юридический институт правового администрирования</t>
  </si>
  <si>
    <t>0617</t>
  </si>
  <si>
    <t>347400.08.01</t>
  </si>
  <si>
    <t>Финансовое право: Уч. пос. / А.А.Мусаткина - М.:ИЦ РИОР, НИЦ ИНФРА-М,2022. - 176 с.(П)</t>
  </si>
  <si>
    <t>ФИНАНСОВОЕ ПРАВО</t>
  </si>
  <si>
    <t>Мусаткина А.А., Чуклова Е.В.</t>
  </si>
  <si>
    <t>978-5-369-01440-0</t>
  </si>
  <si>
    <t>Рекомендовано учебно-методическим советом ФБГОУ ВПО ТГУ в качестве учебного пособия по юридическим и экономическим направлениям подготовки бакалавриата и специалитета</t>
  </si>
  <si>
    <t>Тольяттинский государственный университет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</si>
  <si>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</si>
  <si>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</si>
  <si>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</si>
  <si>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</si>
  <si>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</si>
  <si>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40.02.01, 38.02.06, 38.02.07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</si>
  <si>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</si>
  <si>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0415</t>
  </si>
  <si>
    <t>256600.06.01</t>
  </si>
  <si>
    <t>Финансовое управление реальными инвестиц. организ.:Уч. пос./М.В.Чараева - Альфа-М: ИНФРА-М,2023-240с (п)</t>
  </si>
  <si>
    <t>ФИНАНСОВОЕ УПРАВЛЕНИЕ РЕАЛЬНЫМИ ИНВЕСТИЦИЯМИ ОРГАНИЗАЦИЙ</t>
  </si>
  <si>
    <t>Чараева М. В.</t>
  </si>
  <si>
    <t>978-5-98281-382-4</t>
  </si>
  <si>
    <t>38.00.00, 25.04.04</t>
  </si>
  <si>
    <t>645627.03.01</t>
  </si>
  <si>
    <t>Финансово-прав.проблемы обращ. драг..: Науч.практ.пос./ Янкевич В.С. -М.:НИЦ ИНФРА-М,2020-152с.(ИЗиСП) (О)</t>
  </si>
  <si>
    <t>ФИНАНСОВО-ПРАВОВЫЕ ПРОБЛЕМЫ ОБРАЩЕНИЯ ДРАГОЦЕННЫХ МЕТАЛЛОВ И ДРАГОЦЕННЫХ КАМНЕЙ В РОССИЙСКОЙ ФЕДЕРАЦИИ</t>
  </si>
  <si>
    <t>Янкевич В.С., Кучеров И.И.</t>
  </si>
  <si>
    <t>978-5-16-012415-5</t>
  </si>
  <si>
    <t>173300.05.01</t>
  </si>
  <si>
    <t>Финансово-правовые институты заруб. стран: Уч.пос. / В.А.Белов-М.:ИЦ РИОР, НИЦ ИНФРА-М,2020-299с(ВО)</t>
  </si>
  <si>
    <t>ФИНАНСОВО-ПРАВОВЫЕ ИНСТИТУТЫ ЗАРУБЕЖНЫХ СТРАН</t>
  </si>
  <si>
    <t>Белов В.А., Прошунин М.М.</t>
  </si>
  <si>
    <t>978-5-369-01039-6</t>
  </si>
  <si>
    <t>40.05.04, 40.03.01, 40.04.01, 38.04.01, 38.04.08, 40.05.01, 40.05.02, 40.05.03, 38.03.01</t>
  </si>
  <si>
    <t>034100.18.01</t>
  </si>
  <si>
    <t>Финансовые вычисления.Теор.и практ.: Уч.-справ.пос. /Я.С.Мелкумов -2 изд. -М.:НИЦ ИНФРА-М, 2024-408с(П)</t>
  </si>
  <si>
    <t>ФИНАНСОВЫЕ ВЫЧИСЛЕНИЯ. ТЕОРИЯ И ПРАКТИКА, ИЗД.2</t>
  </si>
  <si>
    <t>Мелкумов Я.С.</t>
  </si>
  <si>
    <t>978-5-16-005751-4</t>
  </si>
  <si>
    <t>38.02.07, 38.02.01, 38.02.03, 38.04.09, 38.04.07, 25.04.03, 25.04.04, 27.04.07, 38.04.01, 38.04.08, 38.04.02, 38.04.04, 38.04.05, 38.05.01, 23.03.01, 38.03.01, 38.03.05, 38.03.06, 38.03.02, 38.03.04, 38.03.03, 44.03.01, 44.03.05, 41.03.06</t>
  </si>
  <si>
    <t>672596.05.01</t>
  </si>
  <si>
    <t>Финансовые и денежно-кредит. методы регулир...: Уч.пос. / Н.Н.Семенова.-М.:ИЦ РИОР, НИЦ ИНФРА-М,2023.-267 с(п)</t>
  </si>
  <si>
    <t>ФИНАНСОВЫЕ И ДЕНЕЖНО-КРЕДИТНЫЕ МЕТОДЫ РЕГУЛИРОВАНИЯ ЭКОНОМИКИ</t>
  </si>
  <si>
    <t>Семенова Н.Н., Еремина О.И., Филичкина Ю.Ю.</t>
  </si>
  <si>
    <t>978-5-369-01739-5</t>
  </si>
  <si>
    <t>38.04.08, 38.03.01, 44.03.01</t>
  </si>
  <si>
    <t>212900.09.01</t>
  </si>
  <si>
    <t>Финансовые измерения корп.стратег..: Моногр. / И.В.Ивашковская - 2 изд. - М:НИЦ ИНФРА-М,2023-320с(п)</t>
  </si>
  <si>
    <t>ФИНАНСОВЫЕ ИЗМЕРЕНИЯ КОРПОРАТИВНЫХ СТРАТЕГИЙ. СТЕЙКХОЛДЕРСКИЙ ПОДХОД, ИЗД.2</t>
  </si>
  <si>
    <t>Ивашковская И. В.</t>
  </si>
  <si>
    <t>978-5-16-006874-9</t>
  </si>
  <si>
    <t>654709.03.01</t>
  </si>
  <si>
    <t>Финансовые операции гос. и муниц. органов власти: Уч.пос. / А.Ю.Баранова-М.:НИЦ ИНФРА-М,2020-135с(П)</t>
  </si>
  <si>
    <t>ФИНАНСОВЫЕ ОПЕРАЦИИ ГОСУДАРСТВЕННЫХ И МУНИЦИПАЛЬНЫХ ОРГАНОВ ВЛАСТИ</t>
  </si>
  <si>
    <t>978-5-16-013126-9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</si>
  <si>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38.03.04 «Государственное и муниципальное управление» (квалификация (степень) «бакалавр»)</t>
  </si>
  <si>
    <t>712983.01.01</t>
  </si>
  <si>
    <t>Финансовые операции гос. и муницип. орг. власти: Уч.пос. / А.Ю.Баранова-М.:НИЦ ИНФРА-М,2019-135с(П)</t>
  </si>
  <si>
    <t>978-5-16-015396-4</t>
  </si>
  <si>
    <t>38.02.06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</si>
  <si>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</si>
  <si>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638285.02.01</t>
  </si>
  <si>
    <t>Финансовые отношения малых орг. энерг. компл.: Моногр. / Н.И.Морозко-М.:НИЦ ИНФРА-М,2020-151с.(О)</t>
  </si>
  <si>
    <t>ФИНАНСОВЫЕ ОТНОШЕНИЯ МАЛЫХ ОРГАНИЗАЦИЙ ЭНЕРГЕТИЧЕСКОГО КОМПЛЕКСА</t>
  </si>
  <si>
    <t>Морозко Н.И., Диденко В.Ю.</t>
  </si>
  <si>
    <t>978-5-16-012228-1</t>
  </si>
  <si>
    <t>454900.05.01</t>
  </si>
  <si>
    <t>Финансовые рынки и институты Китая: Моногр. / А.С.Селищев - М.:НИЦ ИНФРА-М,2019-258с.(Науч.мысль)(П)</t>
  </si>
  <si>
    <t>ФИНАНСОВЫЕ РЫНКИ И ИНСТИТУТЫ КИТАЯ</t>
  </si>
  <si>
    <t>Селищев А.С., Селищев Н.А., Селищев А.А.</t>
  </si>
  <si>
    <t>978-5-16-011475-0</t>
  </si>
  <si>
    <t>38.04.08, 38.03.02, 44.03.01, 41.03.06</t>
  </si>
  <si>
    <t>Российский экономический университет им. Г.В. Плеханова, Минский ф-л</t>
  </si>
  <si>
    <t>475200.07.01</t>
  </si>
  <si>
    <t>Финансовые рынки и институты: Уч.пос. / В.П.Чижик - М.:Форум, НИЦ ИНФРА-М,2022 - 384 с.(ВО:Бакалавр.)(П)</t>
  </si>
  <si>
    <t>ФИНАНСОВЫЕ РЫНКИ И ИНСТИТУТЫ</t>
  </si>
  <si>
    <t>Чижик В.П.</t>
  </si>
  <si>
    <t>978-5-00091-452-6</t>
  </si>
  <si>
    <t>681676.04.01</t>
  </si>
  <si>
    <t>Финансовые рынки. Практикум: Уч.пос. / М.Ю.Евсин - М.:НИЦ ИНФРА-М,2023 - 168 с.(ВО)(П)</t>
  </si>
  <si>
    <t>ФИНАНСОВЫЕ РЫНКИ. ПРАКТИКУМ</t>
  </si>
  <si>
    <t>Евсин М.Ю., Спесивцев В.А.</t>
  </si>
  <si>
    <t>978-5-16-018720-4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</si>
  <si>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2 от 03.02.2020)</t>
  </si>
  <si>
    <t>Финансовый университет при Правительстве Российской Федерации, Липецкий ф-л</t>
  </si>
  <si>
    <t>167400.08.01</t>
  </si>
  <si>
    <t>Финансовые рынки: проф. деят. на..: Уч. пос. / Б.В.Сребник - ИНФРА-М,2022-366с(ВО)(п)</t>
  </si>
  <si>
    <t>ФИНАНСОВЫЕ РЫНКИ: ПРОФЕССИОНАЛЬНАЯ ДЕЯТЕЛЬНОСТЬ НА РЫНКЕ ЦЕННЫХ БУМАГ</t>
  </si>
  <si>
    <t>Сребник Б.В., Вилкова Т.Б.</t>
  </si>
  <si>
    <t>978-5-16-005029-4</t>
  </si>
  <si>
    <t>Рекомендовано Учебно-методическим объединением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"Экономика", (профиль "Финансы и кредит")</t>
  </si>
  <si>
    <t>682364.03.01</t>
  </si>
  <si>
    <t>Финансовые рынки: Уч.пос. / М.Ю.Евсин-М.:НИЦ ИНФРА-М,2024.-245 с.(ВО)(п)</t>
  </si>
  <si>
    <t>ФИНАНСОВЫЕ РЫНКИ</t>
  </si>
  <si>
    <t>978-5-16-019253-6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</si>
  <si>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4 от 02.03.2020)</t>
  </si>
  <si>
    <t>452300.09.01</t>
  </si>
  <si>
    <t>Финансовый анализ деят. орг.: Уч. / Н.С.Пласкова, - 3 изд.-М.:НИЦ ИНФРА-М,2023.-372 с.(ВО)(п)</t>
  </si>
  <si>
    <t>ФИНАНСОВЫЙ АНАЛИЗ ДЕЯТЕЛЬНОСТИ ОРГАНИЗАЦИИ, ИЗД.3</t>
  </si>
  <si>
    <t>978-5-16-018324-4</t>
  </si>
  <si>
    <t>452300.08.01</t>
  </si>
  <si>
    <t>Финансовый анализ деятельности организации: Уч. / Н.С.Пласкова - 2 изд. - М.:НИЦ ИНФРА-М,2022 - 368с(ВО)(П)</t>
  </si>
  <si>
    <t>ФИНАНСОВЫЙ АНАЛИЗ ДЕЯТЕЛЬНОСТИ ОРГАНИЗАЦИИ, ИЗД.2</t>
  </si>
  <si>
    <t>978-5-16-014839-7</t>
  </si>
  <si>
    <t>452300.05.01</t>
  </si>
  <si>
    <t>Финансовый анализ деятельности организации: Уч. / Н.С.Пласкова-М.:Вуз.уч.,НИЦ ИНФРА-М,2019-368с(П)</t>
  </si>
  <si>
    <t>ФИНАНСОВЫЙ АНАЛИЗ ДЕЯТЕЛЬНОСТИ ОРГАНИЗАЦИИ</t>
  </si>
  <si>
    <t>978-5-9558-0472-9</t>
  </si>
  <si>
    <t>795897.01.01</t>
  </si>
  <si>
    <t>Финансовый анализ и финансовое моделирование: Уч.пос.-М.:НИЦ ИНФРА-М,2023.-90 с.(ВО (СФУ))(о)</t>
  </si>
  <si>
    <t>ФИНАНСОВЫЙ АНАЛИЗ И ФИНАНСОВОЕ МОДЕЛИРОВАНИЕ</t>
  </si>
  <si>
    <t>Шнюкова Е.А.</t>
  </si>
  <si>
    <t>Высшее образование: Магистратура (СФУ)</t>
  </si>
  <si>
    <t>978-5-16-018083-0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</si>
  <si>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38.04.08 «Финансы и кредит» (квалификация (степень) «магистр») (протокол № 6 от 08.06.2022)</t>
  </si>
  <si>
    <t>Октябрь, 2022</t>
  </si>
  <si>
    <t>281400.08.01</t>
  </si>
  <si>
    <t>Финансовый анализ. Управление финанс. операциями: Уч.пос. / Е.Б.Герасимова - М.:Форум:ИНФРА-М,2022 - 192 с(О)</t>
  </si>
  <si>
    <t>ФИНАНСОВЫЙ АНАЛИЗ. УПРАВЛЕНИЕ ФИНАНСОВЫМИ ОПЕРАЦИЯМИ</t>
  </si>
  <si>
    <t>Герасимова Е.Б., Редин Д.В.</t>
  </si>
  <si>
    <t>978-5-91134-890-8</t>
  </si>
  <si>
    <t>Рекомендовано Институтом экономики и управления Московского государственного машиностроительного университета (МАМИ) в качестве учебного пособия для студентов и бакалавров высших учебных заведений, обучающихся по направлениям «Экономика» и «Менеджмен</t>
  </si>
  <si>
    <t>467350.10.01</t>
  </si>
  <si>
    <t>Финансовый анализ: Уч.пос. / Л.М.Куприянова - М.:НИЦ ИНФРА-М,2022-157с.(ВО: Бакалавриат)(п)</t>
  </si>
  <si>
    <t>ФИНАНСОВЫЙ АНАЛИЗ</t>
  </si>
  <si>
    <t>Куприянова Л.М.</t>
  </si>
  <si>
    <t>978-5-16-016300-0</t>
  </si>
  <si>
    <t>38.04.02, 38.03.02, 41.03.06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</si>
  <si>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</si>
  <si>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</si>
  <si>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</si>
  <si>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978-5-16-016825-8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</si>
  <si>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</si>
  <si>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468100.06.01</t>
  </si>
  <si>
    <t>Финансовый и управленческий учет и анализ: Уч. / П.И.Камышанов - М.:НИЦ ИНФРА-М,2024 - 592 с.(ВО)(П)</t>
  </si>
  <si>
    <t>ФИНАНСОВЫЙ И УПРАВЛЕНЧЕСКИЙ УЧЕТ И АНАЛИЗ</t>
  </si>
  <si>
    <t>Камышанов П.И., Камышанов А.П.</t>
  </si>
  <si>
    <t>978-5-16-019179-9</t>
  </si>
  <si>
    <t>Рекомендовано Учебно-методическим советом вузов России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</si>
  <si>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463700.02.01</t>
  </si>
  <si>
    <t>Финансовый контроллинг в холдингах: Моногр. / Н.А.Казакова -М.:НИЦ ИНФРА-М,2018-237с.(Науч.мысль)(п)</t>
  </si>
  <si>
    <t>ФИНАНСОВЫЙ КОНТРОЛЛИНГ В ХОЛДИНГАХ</t>
  </si>
  <si>
    <t>Казакова Н.А., Хлевная Е.А., Ангеловская А.А.</t>
  </si>
  <si>
    <t>978-5-16-011525-2</t>
  </si>
  <si>
    <t>25.04.04, 38.03.02, 41.03.06</t>
  </si>
  <si>
    <t>646303.08.01</t>
  </si>
  <si>
    <t>Финансовый менеджмент в малом бизнесе: Уч. / Н.И.Морозко - 2 изд.-М.:НИЦ ИНФРА-М,2023.-348 с.(ВО)(П)</t>
  </si>
  <si>
    <t>ФИНАНСОВЫЙ МЕНЕДЖМЕНТ В МАЛОМ БИЗНЕСЕ, ИЗД.2</t>
  </si>
  <si>
    <t>Морозко Н.И., Морозко Н.И., Диденко В.Ю.</t>
  </si>
  <si>
    <t>978-5-16-017587-4</t>
  </si>
  <si>
    <t>38.04.09, 38.04.08, 38.04.02, 38.05.01, 38.03.01, 38.03.06, 38.03.07, 38.03.02, 38.03.04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</si>
  <si>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2 от 09.02.2022)</t>
  </si>
  <si>
    <t>646303.04.01</t>
  </si>
  <si>
    <t>Финансовый менеджмент в малом бизнесе: Уч. / Н.И.Морозко-М.:НИЦ ИНФРА-М,2019-347с(ВО: Бакалавр.)(П)</t>
  </si>
  <si>
    <t>ФИНАНСОВЫЙ МЕНЕДЖМЕНТ В МАЛОМ БИЗНЕСЕ</t>
  </si>
  <si>
    <t>978-5-16-013341-6</t>
  </si>
  <si>
    <t>262000.03.01</t>
  </si>
  <si>
    <t>Финансовый менеджмент. углубл. ур: Уч. / П.Н.Тесля-М.:ИЦ РИОР, НИЦ ИНФРА-М,2023.-217 с.(ВО)(О)</t>
  </si>
  <si>
    <t>ФИНАНСОВЫЙ МЕНЕДЖМЕНТ</t>
  </si>
  <si>
    <t>Тесля П.Н.</t>
  </si>
  <si>
    <t>978-5-369-01562-9</t>
  </si>
  <si>
    <t>405600.05.01</t>
  </si>
  <si>
    <t>Финансовый менеджмент: Уч. / А.И.Самылин-М.:НИЦ ИНФРА-М,2019.-413 с..-(ВО: Бакалавриат)(П)</t>
  </si>
  <si>
    <t>978-5-16-005247-2</t>
  </si>
  <si>
    <t>Рекомендовано ФГБОУ ВПО «Государственный университет управления» в качестве учебника для студентов высших учебных заведений, обучающихся по направлению 38.04.01 «Экономика» (квалификация (степень) — «магистр») Регистрационный номер рецензии 1812 от 12.05.2012 (МГУП)</t>
  </si>
  <si>
    <t>202200.06.01</t>
  </si>
  <si>
    <t>Финансовый менеджмент: Уч. / А.Н. Трошин - М.: НИЦ Инфра-М, 2022 - 331 с.(ВО: Бакалавр.) (п)</t>
  </si>
  <si>
    <t>Трошин А. Н.</t>
  </si>
  <si>
    <t>978-5-16-005734-7</t>
  </si>
  <si>
    <t>Рекомендовано ФГБОУ ВПО Государственным университетом управления к использованию в образовательных учреждениях в качестве учебника для бакалавров по направлению «Менеджмент»</t>
  </si>
  <si>
    <t>Московский авиационный институт (национальный исследовательский университет)</t>
  </si>
  <si>
    <t>203700.08.01</t>
  </si>
  <si>
    <t>Финансовый менеджмент: Уч. / Е.В.Лисицына- 2 изд.-М.:НИЦ ИНФРА-М,2023.-185 с.(ВО: Бакалавриат)(П)</t>
  </si>
  <si>
    <t>ФИНАНСОВЫЙ МЕНЕДЖМЕНТ, ИЗД.2</t>
  </si>
  <si>
    <t>Лисицына Е.В., Ващенко Т.В., Забродина М.В. и др.</t>
  </si>
  <si>
    <t>978-5-16-017661-1</t>
  </si>
  <si>
    <t>Рекомендовано советом Учебно-методического объединения вузов по образованию в области менеджмента в качестве учебника для студентов высших учебных заведений, обучающихся по направлению 38.03.02 «Менеджмент» (квалификация (степень) «бакалавр»)</t>
  </si>
  <si>
    <t>036100.17.01</t>
  </si>
  <si>
    <t>Финансовый менеджмент: Уч. / Л.Е.Басовский-М.:НИЦ ИНФРА-М,2023.-240 с.(ВО: Бакалавриат)(п)</t>
  </si>
  <si>
    <t>Басовский Л. Е.</t>
  </si>
  <si>
    <t>978-5-16-006960-9</t>
  </si>
  <si>
    <t>38.02.07, 38.02.01, 38.02.03, 38.04.09, 38.04.07, 25.04.04, 38.04.01, 38.04.08, 38.04.06, 38.04.02, 38.04.03, 38.04.04, 38.04.05, 38.05.01, 23.03.01, 38.03.01, 38.03.05, 38.03.06, 38.03.07, 38.03.02, 38.03.04, 38.03.03, 44.03.01, 44.03.05, 41.03.06</t>
  </si>
  <si>
    <t>Тульский государственный педагогический университет им. Л.Н. Толстого</t>
  </si>
  <si>
    <t>0102</t>
  </si>
  <si>
    <t>203700.07.01</t>
  </si>
  <si>
    <t>Финансовый менеджмент: Уч. / Под ред. Екимовой К.В. - М.:НИЦ ИНФРА-М,2021-184с.-(ВО: Бакалавриат)(П)</t>
  </si>
  <si>
    <t>Лисицына Е. В., Ващенко Т. В., Забродина М. В., Екимова К. В.</t>
  </si>
  <si>
    <t>978-5-16-006620-2</t>
  </si>
  <si>
    <t>376800.04.01</t>
  </si>
  <si>
    <t>Финансовый менеджмент: Уч. / С.А.Сироткин - М.:НИЦ ИНФРА-М,2023 - 294с.(ВО:Бакалавр.)(п)</t>
  </si>
  <si>
    <t>СироткинС.А., КельчевскаяН.Р.</t>
  </si>
  <si>
    <t>978-5-16-011106-3</t>
  </si>
  <si>
    <t>054800.13.01</t>
  </si>
  <si>
    <t>Финансовый менеджмент: Уч. пос. / М.В.Кудина - 2 изд. - М.: ИД ФОРУМ: НИЦ Инфра-М, 2024 - 256с. (ВО) (п)</t>
  </si>
  <si>
    <t>978-5-8199-0505-0</t>
  </si>
  <si>
    <t>Рекомендовано Ученым советом факультета государственного управления МГУ имени М. В. Ломоносова в качестве учебного пособия для студентов высших учебных заведений, обучающихся по группе специальностей экономического профиля</t>
  </si>
  <si>
    <t>426450.07.01</t>
  </si>
  <si>
    <t>Финансовый менеджмент: Уч. пос. / Н.И. Морозко - М.: НИЦ ИНФРА-М, 2023-224с.(ВО: Бакалавр.) (п)</t>
  </si>
  <si>
    <t>Морозко Н. И., Диденко И. Ю.</t>
  </si>
  <si>
    <t>978-5-16-005786-6</t>
  </si>
  <si>
    <t>38.04.01, 38.04.08, 38.04.02, 38.04.04, 38.03.01, 38.03.02, 41.03.06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</si>
  <si>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направлениям подготовки 080200.62 «Менеджмент», 080100.62 «Экономика» (квалификация</t>
  </si>
  <si>
    <t>347600.04.01</t>
  </si>
  <si>
    <t>Финансовый менеджмент: Уч. пос. /М.В. Чараева, -2 изд. -М.: НИЦ ИНФРА-М, 2023 -240 с. (ВО:Бакалавр.) (п)</t>
  </si>
  <si>
    <t>978-5-16-010828-5</t>
  </si>
  <si>
    <t>Рекомендовано в качестве учебного пособия для студентов высших учебных заведений, обучающихся по направлению подготовки 38.03.01 «Экономика», 38.03.02 «Менеджмент», 41.03.06 «Публичная политика и социальные науки»</t>
  </si>
  <si>
    <t>170200.06.01</t>
  </si>
  <si>
    <t>Финансовый менеджмент: Уч.пос. / Д.В.Лысенко-М.:НИЦ ИНФРА-М,2019.-372 с..-(ВО)(П+CD)</t>
  </si>
  <si>
    <t>Лысенко Д. В.</t>
  </si>
  <si>
    <t>978-5-16-003985-5</t>
  </si>
  <si>
    <t>064860.08.01</t>
  </si>
  <si>
    <t>Финансовый менеджмент: Уч.пос. / Л.Е.Басовский - М.:ИЦ РИОР,ИНФРА-М,2023-88 с.-(Карман. уч.пос.)(О)</t>
  </si>
  <si>
    <t>978-5-369-00676-4</t>
  </si>
  <si>
    <t>38.04.09, 25.04.03, 25.04.04, 38.04.01, 38.04.08, 38.04.06, 38.04.02, 38.04.03, 38.04.04, 38.04.05, 38.03.01, 38.03.05, 38.03.06, 38.03.02, 38.03.04, 38.03.03, 44.03.05, 41.03.06</t>
  </si>
  <si>
    <t>0105</t>
  </si>
  <si>
    <t>640488.03.01</t>
  </si>
  <si>
    <t>Финансовый менеджмент: Уч.пос. / П.А.Левчаев-М.:НИЦ ИНФРА-М,2023.-247 с.(ВО: Магистр.)(п)</t>
  </si>
  <si>
    <t>978-5-16-012755-2</t>
  </si>
  <si>
    <t>38.04.09, 38.04.07, 38.04.01, 38.04.08, 38.04.06, 38.04.02, 38.05.01, 38.03.01, 38.03.06, 38.03.07</t>
  </si>
  <si>
    <t>118400.10.01</t>
  </si>
  <si>
    <t>Финансовый менеджмент: Уч.пос. / Т.В.Филатова - М.:НИЦ ИНФРА-М,2024-236с.(ВО: Бакалавр.)(П)</t>
  </si>
  <si>
    <t>Филатова Т. В.</t>
  </si>
  <si>
    <t>978-5-16-012500-8</t>
  </si>
  <si>
    <t>Рекомендовано УМО по образованию в области финансов, учета и мировой экономики в качестве учебного пособия для студентов вузов, обучающихся по направлению подготовки 38.03.01 "Экономика"</t>
  </si>
  <si>
    <t>665687.02.01</t>
  </si>
  <si>
    <t>Финансовый механизм и упр.уч.расхода производ.ресурсов.:Моногр./П.А.Левчаев-М.:НИЦ ИНФРА-М,2021-231с</t>
  </si>
  <si>
    <t>ФИНАНСОВЫЙ МЕХАНИЗМ И УПРАВЛЕНЧЕСКИЙ УЧЕТ РАСХОДА ПРОИЗВОДСТВЕННЫХ РЕСУРСОВ КОМПАНИИ</t>
  </si>
  <si>
    <t>Левчаев П.А., Осипов В.И.</t>
  </si>
  <si>
    <t>978-5-16-013187-0</t>
  </si>
  <si>
    <t>657634.02.01</t>
  </si>
  <si>
    <t>Финансовый механизм распред.расход.рег.и муниц.бюдж. / В.В.Карпова.-М.:Вуз.уч.,НИЦ ИНФРА-М,2018-188с</t>
  </si>
  <si>
    <t>ФИНАНСОВЫЙ МЕХАНИЗМ РАСПРЕДЕЛЕНИЯ РАСХОДОВ РЕГИОНАЛЬНЫХ И МУНИЦИПАЛЬНЫХ БЮДЖЕТОВ</t>
  </si>
  <si>
    <t>Карпова В.В., Карпова Т.П., Ремжов А.В.</t>
  </si>
  <si>
    <t>978-5-9558-0570-2</t>
  </si>
  <si>
    <t>678845.03.01</t>
  </si>
  <si>
    <t>Финансовый надзор в нац платежной сис. РФ. Уч.пос.: Уч.пос. / А.А.Ситник - 2 изд.-М.:Юр.Норма, НИЦ ИНФРА-М,2023-208с(П)</t>
  </si>
  <si>
    <t>ФИНАНСОВЫЙ НАДЗОР В НАЦИОНАЛЬНОЙ ПЛАТЕЖНОЙ СИСТЕМЕ РФ, ИЗД.2</t>
  </si>
  <si>
    <t>978-5-00156-134-7</t>
  </si>
  <si>
    <t>40.03.01, 38.04.09, 40.04.01, 38.04.01, 38.04.08, 38.05.01, 44.03.05</t>
  </si>
  <si>
    <t>678845.01.01</t>
  </si>
  <si>
    <t>Финансовый надзор в нац. платеж. системе РФ: Уч.пос./ А.А.Ситник-М:Юр.Норма,НИЦ ИНФРА-М,2018-176с(П)</t>
  </si>
  <si>
    <t>ФИНАНСОВЫЙ НАДЗОР В НАЦИОНАЛЬНОЙ ПЛАТЕЖНОЙ СИСТЕМЕ РФ</t>
  </si>
  <si>
    <t>978-5-91768-897-8</t>
  </si>
  <si>
    <t>291200.08.01</t>
  </si>
  <si>
    <t>Финансовый учет для магистров: Уч./Под ред. Петрова А.М.- 2 изд.-М.:Вуз.уч.,НИЦ ИНФРА-М,2024-343с(П)</t>
  </si>
  <si>
    <t>ФИНАНСОВЫЙ УЧЕТ ДЛЯ МАГИСТРОВ, ИЗД.2</t>
  </si>
  <si>
    <t>Петров А.М., под ред.</t>
  </si>
  <si>
    <t>978-5-9558-0380-7</t>
  </si>
  <si>
    <t>247400.07.01</t>
  </si>
  <si>
    <t>Финансовый учет и отчетность: Уч. / Под ред. Петрова А.М. - М.:Вуз.уч.,НИЦ ИНФРА-М,2021-464с.(П)</t>
  </si>
  <si>
    <t>ФИНАНСОВЫЙ УЧЕТ И ОТЧЕТНОСТЬ</t>
  </si>
  <si>
    <t>Петров А. М., Мельникова Л. А., Савин И. А., Петров А. М.</t>
  </si>
  <si>
    <t>978-5-9558-0346-3</t>
  </si>
  <si>
    <t>38.04.09, 38.04.08, 38.03.02, 41.03.06</t>
  </si>
  <si>
    <t>682609.03.01</t>
  </si>
  <si>
    <t>Финансовый учет: Уч. / Л.К.Никандрова -М.:НИЦ ИНФРА-М, 2023.-280 с..-(ВО: Бакалавриат)(П)</t>
  </si>
  <si>
    <t>ФИНАНСОВЫЙ УЧЕТ</t>
  </si>
  <si>
    <t>Никандрова Л.К., Акатьева М.Д.</t>
  </si>
  <si>
    <t>978-5-16-014552-5</t>
  </si>
  <si>
    <t>095230.12.01</t>
  </si>
  <si>
    <t>Финансовый учет: Уч. / Под ред. Гетьмана В.Г. - 6 изд. - М.:НИЦ ИНФРА-М,2023 - 622 с.-(ВО)(П)</t>
  </si>
  <si>
    <t>ФИНАНСОВЫЙ УЧЕТ, ИЗД.6</t>
  </si>
  <si>
    <t>Гетьман В.Г., Терехова В.А., Шнейдман Л.З. и др.</t>
  </si>
  <si>
    <t>978-5-16-012347-9</t>
  </si>
  <si>
    <t>38.02.04, 38.02.07, 38.02.03, 38.04.01, 38.03.01, 38.03.02, 41.03.06</t>
  </si>
  <si>
    <t>Рекомендовано Министерством образования и науки Российской Федерации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</si>
  <si>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095230.07.01</t>
  </si>
  <si>
    <t>Финансовый учет: Уч. / Под ред.Гетьмана В.Г. -  5 изд.-М.:НИЦ ИНФРА-М, ИНФРА-М Изд.Дом,2016-784с.(П)</t>
  </si>
  <si>
    <t>ФИНАНСОВЫЙ УЧЕТ, ИЗД.5</t>
  </si>
  <si>
    <t>Гетьман В.Г.</t>
  </si>
  <si>
    <t>978-5-16-004863-5</t>
  </si>
  <si>
    <t>Рекомендовано Министерством образования и науки Российской Федерации в качестве учебника для студентов высших учебных заведений, обучающихся по экономическим специальностям</t>
  </si>
  <si>
    <t>0512</t>
  </si>
  <si>
    <t>767670.01.01</t>
  </si>
  <si>
    <t>Финансы гос. внебюджетных фондов в цифровом...: Уч. / П.А.Левчаев-М.:НИЦ ИНФРА-М,2024.-222 с.(ВО)(п)</t>
  </si>
  <si>
    <t>ФИНАНСЫ ГОСУДАРСТВЕННЫХ ВНЕБЮДЖЕТНЫХ ФОНДОВ В ЦИФРОВОМ ЭКОНОМИЧЕСКОМ УКЛАДЕ</t>
  </si>
  <si>
    <t>978-5-16-017368-9</t>
  </si>
  <si>
    <t>38.04.09, 40.04.01, 38.04.01, 38.04.08, 38.03.01</t>
  </si>
  <si>
    <t>231100.09.01</t>
  </si>
  <si>
    <t>Финансы для нефинансистов: Уч.пос. / М.Л.Асмолова - 2 изд. - М.:ИЦ РИОР,НИЦ ИНФРА-М,2022-154с.(о)</t>
  </si>
  <si>
    <t>ФИНАНСЫ ДЛЯ НЕФИНАНСИСТОВ, ИЗД.2</t>
  </si>
  <si>
    <t>Асмолова М.Л.</t>
  </si>
  <si>
    <t>Президентская программа подготовки управленческих кадров</t>
  </si>
  <si>
    <t>978-5-369-01514-8</t>
  </si>
  <si>
    <t>Дополнительное образование / Дополнительное образование взрослых</t>
  </si>
  <si>
    <t>239200.11.01</t>
  </si>
  <si>
    <t>Финансы для нефинансовых менеджеров: Уч.пос. / М.А.Карлик-М.:НИЦ ИНФРА-М,2024.-398 с.(ВО)(п)</t>
  </si>
  <si>
    <t>ФИНАНСЫ ДЛЯ НЕФИНАНСОВЫХ МЕНЕДЖЕРОВ</t>
  </si>
  <si>
    <t>Карлик М. А.</t>
  </si>
  <si>
    <t>978-5-16-019022-8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</si>
  <si>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38.03.02 (080200) «Менеджмент»</t>
  </si>
  <si>
    <t>Санкт-Петербургский Международный Институт Менеджмента</t>
  </si>
  <si>
    <t>718326.04.01</t>
  </si>
  <si>
    <t>Финансы и кредит. Совр. концепции: Уч. / Под ред. Буракова Д.В.-М.:НИЦ ИНФРА-М,2023.-313 с.(ВО)(П)</t>
  </si>
  <si>
    <t>ФИНАНСЫ И КРЕДИТ. СОВРЕМЕННЫЕ КОНЦЕПЦИИ</t>
  </si>
  <si>
    <t>Басс А.Б., Бураков Д.В., Молчанов И.Н. и др.</t>
  </si>
  <si>
    <t>978-5-16-015711-5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</si>
  <si>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38.04.08 «Финансы и кредит» (квалификация (степень) «магистр») (протокол № 8 от 22.06.2020)</t>
  </si>
  <si>
    <t>096650.06.01</t>
  </si>
  <si>
    <t>Финансы и кредит: Уч. / Ж.Г.Голодова, - 2-е изд.-М.:НИЦ ИНФРА-М,2023.-612 с..-(ВО)(п)</t>
  </si>
  <si>
    <t>ФИНАНСЫ И КРЕДИТ, ИЗД.2</t>
  </si>
  <si>
    <t>Голодова Ж.Г.</t>
  </si>
  <si>
    <t>978-5-16-016448-9</t>
  </si>
  <si>
    <t>38.02.07, 38.02.01, 38.02.03, 38.04.01, 38.04.08, 38.04.06, 38.04.02, 38.03.01, 38.03.06, 38.03.02, 44.03.05</t>
  </si>
  <si>
    <t>Рекомендовано Учебно-методическим объединением вузов России по образованию в области экономики и экономической теории в качестве учебного пособия для студентов, обучающихся по направлению "Экономика" и экономическим специальностям</t>
  </si>
  <si>
    <t>151500.09.01</t>
  </si>
  <si>
    <t>Финансы и кредит: Уч. / Под. ред. О.В.Соколовой - 2 изд. - М.:Магистр, ИНФРА-М,2020. - 912 с.(П)</t>
  </si>
  <si>
    <t>Соколова О. В.</t>
  </si>
  <si>
    <t>978-5-9776-0196-2</t>
  </si>
  <si>
    <t>38.02.07, 38.02.01, 38.02.03, 38.04.09, 27.04.07, 38.04.01, 38.04.08, 38.04.06, 38.04.02, 38.04.04, 38.04.05, 38.03.01, 38.03.05, 38.03.06, 38.03.02, 38.03.04, 38.03.03, 44.03.01, 44.03.05, 41.03.06</t>
  </si>
  <si>
    <t>Допущено Министерством образования РФ в качестве учебника для студентов высших учебных заведений, обучающихся по финансово-экономическим специальностям</t>
  </si>
  <si>
    <t>Всероссийская академия внешней торговли Министерства экономического развития Российской Федерации</t>
  </si>
  <si>
    <t>0211</t>
  </si>
  <si>
    <t>745034.04.01</t>
  </si>
  <si>
    <t>Финансы и финансовый анализ: Уч. / Н.А.Казакова и др. - М.:НИЦ ИНФРА-М,2024 - 201 с.(ВО: Магистр.)(П)</t>
  </si>
  <si>
    <t>ФИНАНСЫ И ФИНАНСОВЫЙ АНАЛИЗ</t>
  </si>
  <si>
    <t>Казакова Н.А., Когденко В.Г., Мельник М.В.</t>
  </si>
  <si>
    <t>978-5-16-016824-1</t>
  </si>
  <si>
    <t>38.04.01, 38.04.08, 38.04.06, 38.04.02, 38.04.04, 38.05.01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</si>
  <si>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«магистр») (протокол № 3 от 17.03.2021)</t>
  </si>
  <si>
    <t>473200.02.01</t>
  </si>
  <si>
    <t>Финансы корпораций и оценка стоимости: уч.пос. / П.А.Левчаев-М.:НИЦ ИНФРА-М,2018.-175 с..-(ВО: Бакалавриат)(О. КБС)</t>
  </si>
  <si>
    <t>ФИНАНСЫ КОРПОРАЦИЙ И ОЦЕНКА СТОИМОСТИ</t>
  </si>
  <si>
    <t>978-5-16-011612-9</t>
  </si>
  <si>
    <t>38.04.01, 38.03.01, 38.03.02, 44.03.05</t>
  </si>
  <si>
    <t>150500.07.01</t>
  </si>
  <si>
    <t>Финансы организации (предприятий): Уч. / В.А.Слепов - М.:Магистр, НИЦ ИНФРА-М,2023 - 352 с.(П)</t>
  </si>
  <si>
    <t>ФИНАНСЫ ОРГАНИЗАЦИИ (ПРЕДПРИЯТИЙ)</t>
  </si>
  <si>
    <t>Слепов В. А., Шубина Т. В.</t>
  </si>
  <si>
    <t>978-5-9776-0181-8</t>
  </si>
  <si>
    <t>38.04.01, 38.04.02, 38.03.01, 38.03.07, 38.03.02, 44.03.01, 44.03.05, 41.03.06</t>
  </si>
  <si>
    <t>Рекомендовано УМО по образованию в области экономики и экономической теории в качестве учебника для студентов, обучающихся по направлению  "Экономика" и экономическим специальностям</t>
  </si>
  <si>
    <t>659866.02.01</t>
  </si>
  <si>
    <t>Финансы организаций (предпр.): Уч.пос. / Е.Н.Карпова - М.:НИЦ ИНФРА-М,2023 - 285 с.-(ВО: Бакалавриат)(П)</t>
  </si>
  <si>
    <t>ФИНАНСЫ ОРГАНИЗАЦИЙ (ПРЕДПРИЯТИЙ)</t>
  </si>
  <si>
    <t>Карпова Е.Н., Чумаченко Е.А.</t>
  </si>
  <si>
    <t>978-5-16-014792-5</t>
  </si>
  <si>
    <t>Рекомендовано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17 от 11.11.2019)</t>
  </si>
  <si>
    <t>208100.07.01</t>
  </si>
  <si>
    <t>Финансы организаций (предприятий): Уч. / К.В. Екимова - М.: НИЦ ИНФРА-М, 2022. - 375 с.(ВО) (п)</t>
  </si>
  <si>
    <t>Екимова К. В., Шубина Т. В.</t>
  </si>
  <si>
    <t>978-5-16-005759-0</t>
  </si>
  <si>
    <t>736052.04.01</t>
  </si>
  <si>
    <t>Финансы организаций (предприятий): Уч.пос. / Е.Н.Карпова - М.:НИЦ ИНФРА-М,2023. - 285 с.-(СПО)(П)</t>
  </si>
  <si>
    <t>978-5-16-016205-8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</si>
  <si>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</si>
  <si>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080500.10.01</t>
  </si>
  <si>
    <t>Финансы организаций (предприятий): Уч.пос. / Л.М.Бурмистрова, - 2 изд.-М.:НИЦ ИНФРА-М,2024-240с.(ВО)</t>
  </si>
  <si>
    <t>ФИНАНСЫ ОРГАНИЗАЦИЙ (ПРЕДПРИЯТИЙ), ИЗД.2</t>
  </si>
  <si>
    <t>978-5-16-009951-4</t>
  </si>
  <si>
    <t>38.04.01, 38.04.08, 38.04.06, 38.04.02, 38.03.01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</si>
  <si>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специальности "Финансы и кредит"</t>
  </si>
  <si>
    <t>636129.06.01</t>
  </si>
  <si>
    <t>Финансы организаций: Уч. / А.М.Фридман - М.:ИЦ РИОР, НИЦ ИНФРА-М,2023 - 202 с.(СПО)(О)</t>
  </si>
  <si>
    <t>ФИНАНСЫ ОРГАНИЗАЦИЙ</t>
  </si>
  <si>
    <t>Фридман А.М.</t>
  </si>
  <si>
    <t>978-5-369-01638-1</t>
  </si>
  <si>
    <t>31.02.01, 38.02.06</t>
  </si>
  <si>
    <t>640459.04.01</t>
  </si>
  <si>
    <t>Финансы организаций: Уч. / П.А.Левчаев - 2 изд. - М.:НИЦ ИНФРА - М,2021-386 с.-(ВО: Бакалавриат)(П)</t>
  </si>
  <si>
    <t>ФИНАНСЫ ОРГАНИЗАЦИЙ, ИЗД.2</t>
  </si>
  <si>
    <t>978-5-16-011342-5</t>
  </si>
  <si>
    <t>38.02.06, 38.04.01, 38.04.02, 38.03.01, 38.03.02, 38.03.04, 41.03.06</t>
  </si>
  <si>
    <t>666545.03.01</t>
  </si>
  <si>
    <t>Финансы организаций: Уч.пос. /М.А.Конищева и др.-М.:НИЦ ИНФРА-М,СФУ,2020-382с(ВО: Бакалавр.(СФУ))(П)</t>
  </si>
  <si>
    <t>Конищева М.А., Курган О.И., Черкасова Ю.И.</t>
  </si>
  <si>
    <t>Высшее образование: Бакалавриат (СФУ)</t>
  </si>
  <si>
    <t>978-5-16-013135-1</t>
  </si>
  <si>
    <t>Рекомендовано Федеральным государственным образовательным бюджетным учреждением высшего профессионального образования «Финансовый университет при Правительстве Российской Федерации» (Финансовый университет) к использованию в образовательных учреждениях, реализующих образовательные программы ВО по дисциплине «Финансы организаций» по направлению подготовки «Экономика»</t>
  </si>
  <si>
    <t>384300.04.01</t>
  </si>
  <si>
    <t>Финансы торговых организаций: Уч.пос. / С.Е.Метелев-М.:Форум, НИЦ ИНФРА-М,2019.-199 с..-(ВО)(О)</t>
  </si>
  <si>
    <t>ФИНАНСЫ ТОРГОВЫХ ОРГАНИЗАЦИЙ</t>
  </si>
  <si>
    <t>Метелев С.Е., Чижик В.П.</t>
  </si>
  <si>
    <t>978-5-00091-106-8</t>
  </si>
  <si>
    <t>38.04.06, 38.03.01, 38.03.06, 38.03.07, 38.03.02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</si>
  <si>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«Экономика» (квалификация «бакалавр»)</t>
  </si>
  <si>
    <t>050070.24.01</t>
  </si>
  <si>
    <t>Финансы, денежное обр. и кредит: Уч. / В.П.Климович - 4 изд.-М.:ИД ФОРУМ, НИЦ ИНФРА-М,2023-336с.(СПО)(П)</t>
  </si>
  <si>
    <t>ФИНАНСЫ, ДЕНЕЖНОЕ ОБРАЩЕНИЕ И КРЕДИТ, ИЗД.4</t>
  </si>
  <si>
    <t>Климович В. П.</t>
  </si>
  <si>
    <t>978-5-8199-0701-6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</si>
  <si>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</si>
  <si>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0413</t>
  </si>
  <si>
    <t>077730.05.01</t>
  </si>
  <si>
    <t>Финансы, денежное обращение и кредит - 2изд.-М.:ИЦ РИОР, НИЦ ИНФРА-М-128 с.-(Шпаргалка [отрывная])</t>
  </si>
  <si>
    <t>ФИНАНСЫ, ДЕНЕЖНОЕ ОБРАЩЕНИЕ И КРЕДИТ, ИЗД.2</t>
  </si>
  <si>
    <t>978-5-369-00935-2</t>
  </si>
  <si>
    <t>072350.17.01</t>
  </si>
  <si>
    <t>Финансы, денежное обращение и кредит: Уч. / В.А.Галанов - 2изд-М.:Форум, НИЦ ИНФРА-М,2023-414c.(ПО)</t>
  </si>
  <si>
    <t>978-5-91134-552-5</t>
  </si>
  <si>
    <t>657349.03.01</t>
  </si>
  <si>
    <t>Финансы, денежное обращение и кредит: Уч. / Г.М.Колпакова, - 5-е изд.-М.:НИЦ ИНФРА-М,2023.-609 с..-(ВО)(п)</t>
  </si>
  <si>
    <t>ФИНАНСЫ, ДЕНЕЖНОЕ ОБРАЩЕНИЕ И КРЕДИТ, ИЗД.5</t>
  </si>
  <si>
    <t>Колпакова Г.М., Евдокимова Ю.В.</t>
  </si>
  <si>
    <t>978-5-16-018437-1</t>
  </si>
  <si>
    <t>38.03.01, 38.03.05, 38.03.06, 38.03.02, 38.03.04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</si>
  <si>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 группе специальностей и направлений 38.03.00 «Экономика и управление» (протокол № 10 от 27.05.2019)</t>
  </si>
  <si>
    <t>Институт экономики и антикризисного управления</t>
  </si>
  <si>
    <t>095030.10.01</t>
  </si>
  <si>
    <t>Финансы, денежное обращение и кредит: Уч. пос. / С.А. Чернецов. - М.: Магистр,ИНФРА-М, 2023. - 528 с. (П)</t>
  </si>
  <si>
    <t>ФИНАНСЫ, ДЕНЕЖНОЕ ОБРАЩЕНИЕ И КРЕДИТ</t>
  </si>
  <si>
    <t>978-5-9776-0036-1</t>
  </si>
  <si>
    <t>25.04.03, 38.04.08, 38.04.02, 38.04.05, 23.03.01, 38.03.01, 38.03.05, 38.03.06, 38.03.02</t>
  </si>
  <si>
    <t>749697.01.01</t>
  </si>
  <si>
    <t>Финансы, денежное обращение и кредит: Уч.пос. / Под ред. Коршуновой Л.Н.-М.:НИЦ ИНФРА-М,2023.-261 с.(п)</t>
  </si>
  <si>
    <t>978-5-16-017036-7</t>
  </si>
  <si>
    <t>754659.01.01</t>
  </si>
  <si>
    <t>Финансы: Уч. / Н.Н.Семенова и др.-М.:НИЦ ИНФРА-М,2023.-528 с.(ВО: Бакалавриат)(П)</t>
  </si>
  <si>
    <t>ФИНАНСЫ</t>
  </si>
  <si>
    <t>978-5-16-016988-0</t>
  </si>
  <si>
    <t>38.04.01, 38.04.08, 38.03.01, 38.03.02, 38.03.04</t>
  </si>
  <si>
    <t>Санкт-Петербургский государственный институт культуры</t>
  </si>
  <si>
    <t>391300.05.01</t>
  </si>
  <si>
    <t>Финансы: Уч. / Под ред. Дадашева А.З. - М.:Вуз. уч., НИЦ ИНФРА-М,2023 - 178 с.(П)</t>
  </si>
  <si>
    <t>Дадашев А.З.</t>
  </si>
  <si>
    <t>978-5-9558-0457-6</t>
  </si>
  <si>
    <t>38.02.07, 38.02.01, 38.02.03, 38.03.01</t>
  </si>
  <si>
    <t>096700.13.01</t>
  </si>
  <si>
    <t>Финансы: Уч. / Под ред. Слепова В.А., - 4 изд.-М.:Магистр, НИЦ ИНФРА-М,2024.-336 с.(Бакалавр.)(П)</t>
  </si>
  <si>
    <t>ФИНАНСЫ, ИЗД.4</t>
  </si>
  <si>
    <t>Слепов В.А., Арсланов А.Ф., Бурлачков В.К. и др.</t>
  </si>
  <si>
    <t>978-5-9776-0345-4</t>
  </si>
  <si>
    <t>38.04.01, 38.03.01, 38.03.06, 38.03.02</t>
  </si>
  <si>
    <t>Рекомендовано Министерством образования РФ в качестве учебника для студентов высших учебных заведений, обучающихся по экономическим специальностям и направлениям</t>
  </si>
  <si>
    <t>150900.07.01</t>
  </si>
  <si>
    <t>Финансы: Уч. пос. / С.А. Чернецов - М.: Магистр:  ИНФРА-М, 2024-576с. (п)</t>
  </si>
  <si>
    <t>978-5-9776-0182-5</t>
  </si>
  <si>
    <t>Рекомендовано УМО по образованию в области экономики и экономической теории в качестве учебного пособия для студентов высших учебных заведений , обучающихся по направлению "Экономика" и другим экономическим специальностям</t>
  </si>
  <si>
    <t>173500.12.01</t>
  </si>
  <si>
    <t>Финансы: Уч.пос. / Н.А. Лупей - 3 изд. - М.:Магистр, НИЦ ИНФРА-М, 2023 - 448 с.(Бакалавриат) (П)</t>
  </si>
  <si>
    <t>ФИНАНСЫ, ИЗД.3</t>
  </si>
  <si>
    <t>Лупей Н.А., Соболев В.И.</t>
  </si>
  <si>
    <t>978-5-9776-0414-7</t>
  </si>
  <si>
    <t>Допущено Учебно-методическим объединением по образованию в области коммерции в качестве учебного пособия для студентов высших учебных заведений, обучающихсяпо спец. "Коммерция (торговое дело)", "Маркетинг" и напр. "Торговое дело</t>
  </si>
  <si>
    <t>073270.06.01</t>
  </si>
  <si>
    <t>Финансы: Шпаргалка - 2 изд. - М.:ИЦ РИОР, -80 с.-(Шпаргалки на 5+)(О)</t>
  </si>
  <si>
    <t>ФИНАНСЫ, ИЗД.2</t>
  </si>
  <si>
    <t>Шпаргалки на 5+</t>
  </si>
  <si>
    <t>978-5-369-01629-9</t>
  </si>
  <si>
    <t>200180.08.01</t>
  </si>
  <si>
    <t>Фондовый рынок Франции: Монография / Р.С.Куракин - М.:НИЦ ИНФРА-М,2021 - 78 с.-(Науч.мысль)(О)</t>
  </si>
  <si>
    <t>ФОНДОВЫЙ РЫНОК ФРАНЦИИ</t>
  </si>
  <si>
    <t>978-5-16-006139-9</t>
  </si>
  <si>
    <t>200181.08.01</t>
  </si>
  <si>
    <t>Фондовый рынок ФРГ: Монография / К.В.Мротцек-М.:НИЦ ИНФРА-М,2024.-152 с..-(Научная мысль)(О)</t>
  </si>
  <si>
    <t>ФОНДОВЫЙ РЫНОК ФЕДЕРАТИВНОЙ РЕСПУБЛИКИ ГЕРМАНИЯ</t>
  </si>
  <si>
    <t>Мротцек К.В., Куракин Р.С.</t>
  </si>
  <si>
    <t>978-5-16-006143-6</t>
  </si>
  <si>
    <t>664213.02.01</t>
  </si>
  <si>
    <t>Формирование фин. резервов и оценочных обязат..:Моногр./А.М.Петров-М.:Вуз.уч.,НИЦ ИНФРА-М,2018-160с</t>
  </si>
  <si>
    <t>ФОРМИРОВАНИЕ ФИНАНСОВЫХ РЕЗЕРВОВ И ОЦЕНОЧНЫХ ОБЯЗАТЕЛЬСТВ В УЧЕТЕ И ОТЧЕТНОСТИ</t>
  </si>
  <si>
    <t>Петров А.М., Мельникова Л.А.</t>
  </si>
  <si>
    <t>978-5-9558-0583-2</t>
  </si>
  <si>
    <t>38.04.09, 38.04.08, 38.04.02, 38.03.01, 38.03.02, 38.03.04, 44.03.01, 44.03.05</t>
  </si>
  <si>
    <t>799664.01.01</t>
  </si>
  <si>
    <t>Формирование.информ.-аналит.обеспеч.стратег.управ.фин.эконом... / В.В.Башкатов.-М.:НИЦ ИНФРА-М,2023.-215 с.(о)</t>
  </si>
  <si>
    <t>ФОРМИРОВАНИЕ ИНФОРМАЦИОННО-АНАЛИТИЧЕСКОГО ОБЕСПЕЧЕНИЯ СТРАТЕГИЧЕСКОГО УПРАВЛЕНИЯ ФИНАНСАМИ ЭКОНОМИЧЕСКОГО СУБЪЕКТА</t>
  </si>
  <si>
    <t>Башкатов В.В., Миронов О.А., Миронова А.С.</t>
  </si>
  <si>
    <t>978-5-16-018369-5</t>
  </si>
  <si>
    <t>38.04.01, 38.04.08, 38.04.02, 38.06.01</t>
  </si>
  <si>
    <t>653237.04.01</t>
  </si>
  <si>
    <t>Централизованная бухгалтерия в секторе.: Моногр. /Р.В.Ерженин -М.:ИЦ РИОР, НИЦ ИНФРА-М,2024-204с(О)</t>
  </si>
  <si>
    <t>ЦЕНТРАЛИЗОВАННАЯ БУХГАЛТЕРИЯ В СЕКТОРЕ ГОСУДАРСТВЕННОГО УПРАВЛЕНИЯ: ТЕОРИЯ И ПРАКТИКА</t>
  </si>
  <si>
    <t>Ерженин Р.В.</t>
  </si>
  <si>
    <t>978-5-369-01662-6</t>
  </si>
  <si>
    <t>27.03.05, 38.04.09, 38.04.04, 38.04.05, 27.04.04, 09.04.02, 38.05.01, 09.03.03</t>
  </si>
  <si>
    <t>Иркутский государственный университет</t>
  </si>
  <si>
    <t>640997.01.01</t>
  </si>
  <si>
    <t>Эволюция российских инстит.аграрного кредита:Моногр. / О.У.Авис-М.:ИЦ РИОР,НИЦ ИНФРА-М,2017-225с.(О)</t>
  </si>
  <si>
    <t>ЭВОЛЮЦИЯ РОССИЙСКИХ ИНСТИТУТОВ АГРАРНОГО КРЕДИТА: ОТ ДОМИНИРОВАНИЯ К СИСТЕМНОСТИ</t>
  </si>
  <si>
    <t>Авис О.У.</t>
  </si>
  <si>
    <t>978-5-369-01626-8</t>
  </si>
  <si>
    <t>40.03.01, 38.04.01, 38.04.02, 38.03.01, 44.03.05</t>
  </si>
  <si>
    <t>752440.01.01</t>
  </si>
  <si>
    <t>Экологическая ответственность и фин. политика компании: методические...: Моногр. / А.С.Макаров, -М.:НИЦ ИНФРА-М,2022.-261 с.(О)</t>
  </si>
  <si>
    <t>ЭКОЛОГИЧЕСКАЯ ОТВЕТСТВЕННОСТЬ И ФИНАНСОВАЯ ПОЛИТИКА КОМПАНИИ: МЕТОДИЧЕСКИЕ АСПЕКТЫ АНАЛИЗА</t>
  </si>
  <si>
    <t>Макаров А.С., Хвостова И.Е., Рябова Е.В. и др.</t>
  </si>
  <si>
    <t>978-5-16-016853-1</t>
  </si>
  <si>
    <t>637133.10.01</t>
  </si>
  <si>
    <t>Экономика и бухгалтерский учет. Проф. модули: Уч. / М.Ю.Елицур -М.:Форум, НИЦ ИНФРА-М,2023-200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</si>
  <si>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</si>
  <si>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</si>
  <si>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</si>
  <si>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38.02.04, 38.02.06, 38.02.07, 38.02.01, 38.02.03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</si>
  <si>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</si>
  <si>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</si>
  <si>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201500.06.01</t>
  </si>
  <si>
    <t>Экономика и финансы общественного сектора: Уч./Е.В.Пономаренко-М.:НИЦ ИНФРА-М,2022.-377 с..-(ВО: Магистратура)(П)</t>
  </si>
  <si>
    <t>ЭКОНОМИКА И ФИНАНСЫ ОБЩЕСТВЕННОГО СЕКТОРА</t>
  </si>
  <si>
    <t>Пономаренко Е.В.</t>
  </si>
  <si>
    <t>978-5-16-005663-0</t>
  </si>
  <si>
    <t>656771.02.01</t>
  </si>
  <si>
    <t>Экономическая оценка инвестиц. проектов: Уч. / С.А.Сироткин - М.:НИЦ ИНФРА-М,2022 - 274 с.(ВО)(П)</t>
  </si>
  <si>
    <t>ЭКОНОМИЧЕСКАЯ ОЦЕНКА ИНВЕСТИЦИОННЫХ ПРОЕКТОВ</t>
  </si>
  <si>
    <t>Высшее образование: Бакалавриат (УрФУ)</t>
  </si>
  <si>
    <t>978-5-16-015018-5</t>
  </si>
  <si>
    <t>38.03.10, 38.03.01, 38.03.05, 38.03.06, 38.03.02, 38.03.04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</si>
  <si>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38.03.02 «Менеджмент» квалификация (степень) «бакалавр») (протокол № 5 от 16.03.2020)</t>
  </si>
  <si>
    <t>078700.13.01</t>
  </si>
  <si>
    <t>Экономическая оценка инвестиций: Уч. пос./ Л.Е.Басовский - М.: ИНФРА-М,2023-241с. (ВО: Бакалавр.) (п)</t>
  </si>
  <si>
    <t>ЭКОНОМИЧЕСКАЯ ОЦЕНКА ИНВЕСТИЦИЙ</t>
  </si>
  <si>
    <t>Басовский Л. Е., Басовская Е. Н.</t>
  </si>
  <si>
    <t>978-5-16-009915-6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</si>
  <si>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студентов, обучающихся по специальности 080502 Экономика и управление на предприятии (по отраслям)</t>
  </si>
  <si>
    <t>475850.07.01</t>
  </si>
  <si>
    <t>Экономическая оценка инвестиций: Уч.пос. / Г.В. Маркова - М.: КУРС:  НИЦ ИНФРА-М, 2020-144с. (О)</t>
  </si>
  <si>
    <t>Маркова Г.В.</t>
  </si>
  <si>
    <t>978-5-905554-73-5</t>
  </si>
  <si>
    <t>38.04.01, 38.04.02, 38.04.03, 38.03.01, 38.03.02, 38.03.03, 41.03.06</t>
  </si>
  <si>
    <t>Российский государственный аграрный заочный университет</t>
  </si>
  <si>
    <t>082960.10.01</t>
  </si>
  <si>
    <t>Экономический анализ деят. коммерч. банка: Уч. пос./Ю.Г.Вешкин - 2 изд. - Магистр:ИНФРА-М,2024-432с (п)</t>
  </si>
  <si>
    <t>ЭКОНОМИЧЕСКИЙ АНАЛИЗ ДЕЯТЕЛЬНОСТИ КОММЕРЧЕСКОГО БАНКА, ИЗД.2</t>
  </si>
  <si>
    <t>Вешкин Ю. Г., Авагян Г. Л.</t>
  </si>
  <si>
    <t>978-5-9776-0301-0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</si>
  <si>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"Финансы и кредит", "Бухгалтерский учет, анализ и аудит"</t>
  </si>
  <si>
    <t>145800.07.01</t>
  </si>
  <si>
    <t>Эффективность реальных инвестиций: Уч.пос. / Н.П.Макаркин -М.:НИЦ Инфра-М,2022-432с. (ВО: Бакалавр.) (п)</t>
  </si>
  <si>
    <t>ЭФФЕКТИВНОСТЬ РЕАЛЬНЫХ ИНВЕСТИЦИЙ</t>
  </si>
  <si>
    <t>Макаркин Н. П.</t>
  </si>
  <si>
    <t>978-5-16-004614-3</t>
  </si>
  <si>
    <t>38.02.07, 38.02.01, 38.02.03, 38.04.06, 38.04.02, 38.04.05, 38.03.01, 38.03.05, 38.03.06, 38.03.02, 44.03.05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</si>
  <si>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"Менеджмент"</t>
  </si>
  <si>
    <t>018329.12.01</t>
  </si>
  <si>
    <t>Юридическая статистика: Уч. / В.В.Лунеев - 3 изд. - М.:Юр.Норма,НИЦ ИНФРА-М,2019 - 448 с.(П)</t>
  </si>
  <si>
    <t>ЮРИДИЧЕСКАЯ СТАТИСТИКА, ИЗД.3</t>
  </si>
  <si>
    <t>Лунеев В. В.</t>
  </si>
  <si>
    <t>978-5-91768-088-0</t>
  </si>
  <si>
    <t>Институт государства и права Российской академии наук</t>
  </si>
  <si>
    <t>0310</t>
  </si>
  <si>
    <t>00.00.00</t>
  </si>
  <si>
    <t>ОБЩИЕ ДИСЦИПЛИНЫ ДЛЯ ВСЕХ СПЕЦИАЛЬНОСТЕЙ</t>
  </si>
  <si>
    <t>Экономика</t>
  </si>
  <si>
    <t>00.05.13</t>
  </si>
  <si>
    <t>01.00.00</t>
  </si>
  <si>
    <t>МАТЕМАТИКА И МЕХАНИКА</t>
  </si>
  <si>
    <t>01.03.02</t>
  </si>
  <si>
    <t>Прикладная математика и информатика</t>
  </si>
  <si>
    <t>01.04.02</t>
  </si>
  <si>
    <t>02.00.00</t>
  </si>
  <si>
    <t>КОМПЬЮТЕРНЫЕ И ИНФОРМАЦИОННЫЕ НАУКИ</t>
  </si>
  <si>
    <t>02.03.02</t>
  </si>
  <si>
    <t>Фундаментальная информатика и информационные технологии</t>
  </si>
  <si>
    <t>05.00.00</t>
  </si>
  <si>
    <t>НАУКИ О ЗЕМЛЕ</t>
  </si>
  <si>
    <t>05.03.06</t>
  </si>
  <si>
    <t>Экология и природопользование</t>
  </si>
  <si>
    <t>07.00.00</t>
  </si>
  <si>
    <t>АРХИТЕКТУРА</t>
  </si>
  <si>
    <t>07.03.04</t>
  </si>
  <si>
    <t>Градостроительство</t>
  </si>
  <si>
    <t>08.00.00</t>
  </si>
  <si>
    <t>ТЕХНИКА И ТЕХНОЛОГИИ СТРОИТЕЛЬСТВА</t>
  </si>
  <si>
    <t>08.03.01</t>
  </si>
  <si>
    <t>Строительство</t>
  </si>
  <si>
    <t>08.04.01</t>
  </si>
  <si>
    <t>09.00.00</t>
  </si>
  <si>
    <t>ИНФОРМАТИКА И ВЫЧИСЛИТЕЛЬНАЯ ТЕХНИКА</t>
  </si>
  <si>
    <t>09.03.03</t>
  </si>
  <si>
    <t>Прикладная информатика</t>
  </si>
  <si>
    <t>09.04.02</t>
  </si>
  <si>
    <t>Информационные системы и технологии</t>
  </si>
  <si>
    <t>09.04.03</t>
  </si>
  <si>
    <t>10.00.00</t>
  </si>
  <si>
    <t>ИНФОРМАЦИОННАЯ БЕЗОПАСНОСТЬ</t>
  </si>
  <si>
    <t>10.04.01</t>
  </si>
  <si>
    <t>Информационная безопасность</t>
  </si>
  <si>
    <t>10.05.04</t>
  </si>
  <si>
    <t>Информационно-аналитические системы безопасности</t>
  </si>
  <si>
    <t>19.00.00</t>
  </si>
  <si>
    <t>ПРОМЫШЛЕННАЯ ЭКОЛОГИЯ И БИОТЕХНОЛОГИИ</t>
  </si>
  <si>
    <t>19.02.03</t>
  </si>
  <si>
    <t>Технология хлеба, кондитерских и макаронных изделий</t>
  </si>
  <si>
    <t>19.02.10</t>
  </si>
  <si>
    <t>Технология продукции общественного питания</t>
  </si>
  <si>
    <t>19.03.04</t>
  </si>
  <si>
    <t>Технология продукции и организация общественного питания</t>
  </si>
  <si>
    <t>19.04.04</t>
  </si>
  <si>
    <t>21.00.00</t>
  </si>
  <si>
    <t>ПРИКЛАДНАЯ ГЕОЛОГИЯ, ГОРНОЕ ДЕЛО, НЕФТЕГАЗОВОЕ ДЕЛО И ГЕОДЕЗИЯ</t>
  </si>
  <si>
    <t>21.02.08</t>
  </si>
  <si>
    <t>Прикладная геодезия</t>
  </si>
  <si>
    <t>21.02.10</t>
  </si>
  <si>
    <t>Геология и разведка нефтяных и газовых месторождений</t>
  </si>
  <si>
    <t>21.03.02</t>
  </si>
  <si>
    <t>Землеустройство и кадастры</t>
  </si>
  <si>
    <t>21.04.02</t>
  </si>
  <si>
    <t>22.00.00</t>
  </si>
  <si>
    <t>ТЕХНОЛОГИИ МАТЕРИАЛОВ</t>
  </si>
  <si>
    <t>22.04.02</t>
  </si>
  <si>
    <t>Металлургия</t>
  </si>
  <si>
    <t>23.00.00</t>
  </si>
  <si>
    <t>ТЕХНИКА И ТЕХНОЛОГИИ НАЗЕМНОГО ТРАНСПОРТА</t>
  </si>
  <si>
    <t>23.03.01</t>
  </si>
  <si>
    <t>Технология транспортных процессов</t>
  </si>
  <si>
    <t>23.04.03</t>
  </si>
  <si>
    <t>Эксплуатация транспортно-технологических машин и комплексов</t>
  </si>
  <si>
    <t>25.00.00</t>
  </si>
  <si>
    <t>АЭРОНАВИГАЦИЯ И ЭКСПЛУАТАЦИЯ АВИАЦИОННОЙ И РАКЕТНО-КОСМИЧЕСКОЙ ТЕХНИКИ</t>
  </si>
  <si>
    <t>25.04.03</t>
  </si>
  <si>
    <t>Аэронавигация</t>
  </si>
  <si>
    <t>25.04.04</t>
  </si>
  <si>
    <t>Эксплуатация аэропортов и обеспечение полетов воздушных судов</t>
  </si>
  <si>
    <t>26.00.00</t>
  </si>
  <si>
    <t>ТЕХНИКА И ТЕХНОЛОГИИ КОРАБЛЕСТРОЕНИЯ И ВОДНОГО ТРАНСПОРТА</t>
  </si>
  <si>
    <t>26.02.03</t>
  </si>
  <si>
    <t>Судовождение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</si>
  <si>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</si>
  <si>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</si>
  <si>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</si>
  <si>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</si>
  <si>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27.00.00</t>
  </si>
  <si>
    <t>УПРАВЛЕНИЕ В ТЕХНИЧЕСКИХ СИСТЕМАХ</t>
  </si>
  <si>
    <t>27.03.05</t>
  </si>
  <si>
    <t>Инноватика</t>
  </si>
  <si>
    <t>27.04.04</t>
  </si>
  <si>
    <t>Управление в технических системах</t>
  </si>
  <si>
    <t>27.04.05</t>
  </si>
  <si>
    <t>27.04.07</t>
  </si>
  <si>
    <t>Наукоемкие технологии и экономика инноваций</t>
  </si>
  <si>
    <t>31.00.00</t>
  </si>
  <si>
    <t>КЛИНИЧЕСКАЯ МЕДИЦИНА</t>
  </si>
  <si>
    <t>31.02.01</t>
  </si>
  <si>
    <t>Лечебное дело</t>
  </si>
  <si>
    <t>35.00.00</t>
  </si>
  <si>
    <t>СЕЛЬСКОЕ, ЛЕСНОЕ И РЫБНОЕ ХОЗЯЙСТВО</t>
  </si>
  <si>
    <t>35.03.04</t>
  </si>
  <si>
    <t>Агрономия</t>
  </si>
  <si>
    <t>35.03.05</t>
  </si>
  <si>
    <t>Садоводство</t>
  </si>
  <si>
    <t>35.03.07</t>
  </si>
  <si>
    <t>Технология производства и переработки сельскохозяйственной продукции</t>
  </si>
  <si>
    <t>35.04.04</t>
  </si>
  <si>
    <t>35.04.05</t>
  </si>
  <si>
    <t>35.06.01</t>
  </si>
  <si>
    <t>Сельское хозяйство</t>
  </si>
  <si>
    <t>37.00.00</t>
  </si>
  <si>
    <t>ПСИХОЛОГИЧЕСКИЕ НАУКИ</t>
  </si>
  <si>
    <t>37.04.02</t>
  </si>
  <si>
    <t>Конфликтология</t>
  </si>
  <si>
    <t>38.00.00</t>
  </si>
  <si>
    <t>ЭКОНОМИКА И УПРАВЛЕНИЕ</t>
  </si>
  <si>
    <t>38.01.03</t>
  </si>
  <si>
    <t>Контролер банка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</si>
  <si>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</si>
  <si>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</si>
  <si>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</si>
  <si>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</si>
  <si>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</si>
  <si>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</si>
  <si>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</si>
  <si>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</si>
  <si>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</si>
  <si>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Финансы</t>
  </si>
  <si>
    <t>Банковское дело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</si>
  <si>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</si>
  <si>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</si>
  <si>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</si>
  <si>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</si>
  <si>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</si>
  <si>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</si>
  <si>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</si>
  <si>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</si>
  <si>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</si>
  <si>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</si>
  <si>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</si>
  <si>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</si>
  <si>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</si>
  <si>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</si>
  <si>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38.04.03</t>
  </si>
  <si>
    <t>38.04.04</t>
  </si>
  <si>
    <t>38.04.05</t>
  </si>
  <si>
    <t>38.04.06</t>
  </si>
  <si>
    <t>38.04.07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</si>
  <si>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</si>
  <si>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</si>
  <si>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</si>
  <si>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</si>
  <si>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</si>
  <si>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</si>
  <si>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</si>
  <si>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38.07.02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</si>
  <si>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</si>
  <si>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</si>
  <si>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</si>
  <si>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</si>
  <si>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</si>
  <si>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</si>
  <si>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</si>
  <si>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</si>
  <si>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Юриспруденция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</si>
  <si>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</si>
  <si>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</si>
  <si>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</si>
  <si>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</si>
  <si>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</si>
  <si>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40.05.04</t>
  </si>
  <si>
    <t>Судебная и прокурорская деятельность</t>
  </si>
  <si>
    <t>40.06.01</t>
  </si>
  <si>
    <t>41.00.00</t>
  </si>
  <si>
    <t>ПОЛИТИЧЕСКИЕ НАУКИ И РЕГИОНОВЕДЕНИЕ</t>
  </si>
  <si>
    <t>41.03.05</t>
  </si>
  <si>
    <t>Международные отношения</t>
  </si>
  <si>
    <t>41.03.06</t>
  </si>
  <si>
    <t>Публичная политика и социальные науки</t>
  </si>
  <si>
    <t>41.04.05</t>
  </si>
  <si>
    <t>43.00.00</t>
  </si>
  <si>
    <t>СЕРВИС И ТУРИЗМ</t>
  </si>
  <si>
    <t>43.02.01</t>
  </si>
  <si>
    <t>Организация обслуживания в общественном питании</t>
  </si>
  <si>
    <t>43.02.08</t>
  </si>
  <si>
    <t>Сервис домашнего и коммунального хозяйства</t>
  </si>
  <si>
    <t>43.02.11</t>
  </si>
  <si>
    <t>Гостиничный сервис</t>
  </si>
  <si>
    <t>43.03.01</t>
  </si>
  <si>
    <t>Сервис</t>
  </si>
  <si>
    <t>43.03.02</t>
  </si>
  <si>
    <t>Туризм</t>
  </si>
  <si>
    <t>43.03.03</t>
  </si>
  <si>
    <t>Гостиничное дело</t>
  </si>
  <si>
    <t>43.04.02</t>
  </si>
  <si>
    <t>44.00.00</t>
  </si>
  <si>
    <t>ОБРАЗОВАНИЕ И ПЕДАГОГИЧЕСКИЕ НАУКИ</t>
  </si>
  <si>
    <t>44.03.01</t>
  </si>
  <si>
    <t>Педагогическое образование</t>
  </si>
  <si>
    <t>44.03.05</t>
  </si>
  <si>
    <t>Педагогическое образование (с двумя профилями подготовки)</t>
  </si>
  <si>
    <t>46.00.00</t>
  </si>
  <si>
    <t>ИСТОРИЯ И АРХЕОЛОГИЯ</t>
  </si>
  <si>
    <t>46.03.02</t>
  </si>
  <si>
    <t>Документоведение и архивоведение</t>
  </si>
  <si>
    <t>51.00.00</t>
  </si>
  <si>
    <t>КУЛЬТУРОВЕДЕНИЕ И СОЦИОКУЛЬТУРНЫЕ ПРОЕКТЫ</t>
  </si>
  <si>
    <t>51.03.02</t>
  </si>
  <si>
    <t>Народная художественная культура</t>
  </si>
  <si>
    <t>51.04.02</t>
  </si>
  <si>
    <t>56.00.00</t>
  </si>
  <si>
    <t>ОБОРОНА И БЕЗОПАСНОСТЬ ГОСУДАРСТВА. ВОЕННЫЕ НАУКИ</t>
  </si>
  <si>
    <t>56.04.10</t>
  </si>
  <si>
    <t>Управление финансовым обеспечением Вооруженных Сил Российской Федерации</t>
  </si>
  <si>
    <t>56.05.01</t>
  </si>
  <si>
    <t>Тыловое обеспечение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</si>
</sst>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795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>
      <c r="A8" s="5">
        <v>0</v>
      </c>
      <c r="B8" s="6" t="s">
        <v>33</v>
      </c>
      <c r="C8" s="7">
        <v>814.9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263</v>
      </c>
      <c r="L8" s="9">
        <v>2017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12"/>
      <c r="V8" s="28" t="str">
        <f>HYPERLINK("https://znanium.com/catalog/product/1002865",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44.1" customHeight="1">
      <c r="A9" s="5">
        <v>0</v>
      </c>
      <c r="B9" s="6" t="s">
        <v>48</v>
      </c>
      <c r="C9" s="7">
        <v>430</v>
      </c>
      <c r="D9" s="8" t="s">
        <v>49</v>
      </c>
      <c r="E9" s="8" t="s">
        <v>50</v>
      </c>
      <c r="F9" s="8" t="s">
        <v>51</v>
      </c>
      <c r="G9" s="6" t="s">
        <v>37</v>
      </c>
      <c r="H9" s="6" t="s">
        <v>52</v>
      </c>
      <c r="I9" s="8"/>
      <c r="J9" s="9">
        <v>1</v>
      </c>
      <c r="K9" s="9">
        <v>96</v>
      </c>
      <c r="L9" s="9">
        <v>2023</v>
      </c>
      <c r="M9" s="8" t="s">
        <v>53</v>
      </c>
      <c r="N9" s="8" t="s">
        <v>41</v>
      </c>
      <c r="O9" s="8" t="s">
        <v>42</v>
      </c>
      <c r="P9" s="6" t="s">
        <v>54</v>
      </c>
      <c r="Q9" s="8" t="s">
        <v>55</v>
      </c>
      <c r="R9" s="10" t="s">
        <v>56</v>
      </c>
      <c r="S9" s="11"/>
      <c r="T9" s="6"/>
      <c r="U9" s="28" t="str">
        <f>HYPERLINK("https://media.infra-m.ru/2041/2041713/cover/2041713.jpg", "Обложка")</f>
        <v>Обложка</v>
      </c>
      <c r="V9" s="28" t="str">
        <f>HYPERLINK("https://znanium.com/catalog/product/1903391", "Ознакомиться")</f>
        <v>Ознакомиться</v>
      </c>
      <c r="W9" s="8" t="s">
        <v>57</v>
      </c>
      <c r="X9" s="6"/>
      <c r="Y9" s="6"/>
      <c r="Z9" s="6"/>
      <c r="AA9" s="6" t="s">
        <v>58</v>
      </c>
    </row>
    <row r="10" spans="1:27" s="4" customFormat="1" ht="51.95" customHeight="1">
      <c r="A10" s="5">
        <v>0</v>
      </c>
      <c r="B10" s="6" t="s">
        <v>59</v>
      </c>
      <c r="C10" s="13">
        <v>1494</v>
      </c>
      <c r="D10" s="8" t="s">
        <v>60</v>
      </c>
      <c r="E10" s="8" t="s">
        <v>61</v>
      </c>
      <c r="F10" s="8" t="s">
        <v>62</v>
      </c>
      <c r="G10" s="6" t="s">
        <v>63</v>
      </c>
      <c r="H10" s="6" t="s">
        <v>64</v>
      </c>
      <c r="I10" s="8" t="s">
        <v>65</v>
      </c>
      <c r="J10" s="9">
        <v>1</v>
      </c>
      <c r="K10" s="9">
        <v>330</v>
      </c>
      <c r="L10" s="9">
        <v>2023</v>
      </c>
      <c r="M10" s="8" t="s">
        <v>66</v>
      </c>
      <c r="N10" s="8" t="s">
        <v>41</v>
      </c>
      <c r="O10" s="8" t="s">
        <v>42</v>
      </c>
      <c r="P10" s="6" t="s">
        <v>67</v>
      </c>
      <c r="Q10" s="8" t="s">
        <v>55</v>
      </c>
      <c r="R10" s="10" t="s">
        <v>68</v>
      </c>
      <c r="S10" s="11" t="s">
        <v>69</v>
      </c>
      <c r="T10" s="6"/>
      <c r="U10" s="28" t="str">
        <f>HYPERLINK("https://media.infra-m.ru/2006/2006021/cover/2006021.jpg", "Обложка")</f>
        <v>Обложка</v>
      </c>
      <c r="V10" s="28" t="str">
        <f>HYPERLINK("https://znanium.com/catalog/product/1066084", "Ознакомиться")</f>
        <v>Ознакомиться</v>
      </c>
      <c r="W10" s="8" t="s">
        <v>70</v>
      </c>
      <c r="X10" s="6"/>
      <c r="Y10" s="6"/>
      <c r="Z10" s="6"/>
      <c r="AA10" s="6" t="s">
        <v>71</v>
      </c>
    </row>
    <row r="11" spans="1:27" s="4" customFormat="1" ht="42" customHeight="1">
      <c r="A11" s="5">
        <v>0</v>
      </c>
      <c r="B11" s="6" t="s">
        <v>72</v>
      </c>
      <c r="C11" s="7">
        <v>954</v>
      </c>
      <c r="D11" s="8" t="s">
        <v>73</v>
      </c>
      <c r="E11" s="8" t="s">
        <v>74</v>
      </c>
      <c r="F11" s="8" t="s">
        <v>75</v>
      </c>
      <c r="G11" s="6" t="s">
        <v>63</v>
      </c>
      <c r="H11" s="6" t="s">
        <v>52</v>
      </c>
      <c r="I11" s="8"/>
      <c r="J11" s="9">
        <v>1</v>
      </c>
      <c r="K11" s="9">
        <v>208</v>
      </c>
      <c r="L11" s="9">
        <v>2024</v>
      </c>
      <c r="M11" s="8" t="s">
        <v>76</v>
      </c>
      <c r="N11" s="8" t="s">
        <v>41</v>
      </c>
      <c r="O11" s="8" t="s">
        <v>42</v>
      </c>
      <c r="P11" s="6" t="s">
        <v>43</v>
      </c>
      <c r="Q11" s="8" t="s">
        <v>44</v>
      </c>
      <c r="R11" s="10" t="s">
        <v>77</v>
      </c>
      <c r="S11" s="11"/>
      <c r="T11" s="6"/>
      <c r="U11" s="28" t="str">
        <f>HYPERLINK("https://media.infra-m.ru/2091/2091901/cover/2091901.jpg", "Обложка")</f>
        <v>Обложка</v>
      </c>
      <c r="V11" s="28" t="str">
        <f>HYPERLINK("https://znanium.com/catalog/product/1876623", "Ознакомиться")</f>
        <v>Ознакомиться</v>
      </c>
      <c r="W11" s="8" t="s">
        <v>57</v>
      </c>
      <c r="X11" s="6"/>
      <c r="Y11" s="6"/>
      <c r="Z11" s="6"/>
      <c r="AA11" s="6" t="s">
        <v>78</v>
      </c>
    </row>
    <row r="12" spans="1:27" s="4" customFormat="1" ht="51.95" customHeight="1">
      <c r="A12" s="5">
        <v>0</v>
      </c>
      <c r="B12" s="6" t="s">
        <v>79</v>
      </c>
      <c r="C12" s="7">
        <v>724</v>
      </c>
      <c r="D12" s="8" t="s">
        <v>80</v>
      </c>
      <c r="E12" s="8" t="s">
        <v>81</v>
      </c>
      <c r="F12" s="8" t="s">
        <v>82</v>
      </c>
      <c r="G12" s="6" t="s">
        <v>37</v>
      </c>
      <c r="H12" s="6" t="s">
        <v>64</v>
      </c>
      <c r="I12" s="8" t="s">
        <v>83</v>
      </c>
      <c r="J12" s="9">
        <v>1</v>
      </c>
      <c r="K12" s="9">
        <v>159</v>
      </c>
      <c r="L12" s="9">
        <v>2023</v>
      </c>
      <c r="M12" s="8" t="s">
        <v>84</v>
      </c>
      <c r="N12" s="8" t="s">
        <v>41</v>
      </c>
      <c r="O12" s="8" t="s">
        <v>85</v>
      </c>
      <c r="P12" s="6" t="s">
        <v>54</v>
      </c>
      <c r="Q12" s="8" t="s">
        <v>86</v>
      </c>
      <c r="R12" s="10" t="s">
        <v>87</v>
      </c>
      <c r="S12" s="11" t="s">
        <v>88</v>
      </c>
      <c r="T12" s="6"/>
      <c r="U12" s="28" t="str">
        <f>HYPERLINK("https://media.infra-m.ru/1865/1865643/cover/1865643.jpg", "Обложка")</f>
        <v>Обложка</v>
      </c>
      <c r="V12" s="28" t="str">
        <f>HYPERLINK("https://znanium.com/catalog/product/1497868", "Ознакомиться")</f>
        <v>Ознакомиться</v>
      </c>
      <c r="W12" s="8" t="s">
        <v>89</v>
      </c>
      <c r="X12" s="6"/>
      <c r="Y12" s="6"/>
      <c r="Z12" s="6"/>
      <c r="AA12" s="6" t="s">
        <v>90</v>
      </c>
    </row>
    <row r="13" spans="1:27" s="4" customFormat="1" ht="51.95" customHeight="1">
      <c r="A13" s="5">
        <v>0</v>
      </c>
      <c r="B13" s="6" t="s">
        <v>91</v>
      </c>
      <c r="C13" s="13">
        <v>1900</v>
      </c>
      <c r="D13" s="8" t="s">
        <v>92</v>
      </c>
      <c r="E13" s="8" t="s">
        <v>93</v>
      </c>
      <c r="F13" s="8" t="s">
        <v>94</v>
      </c>
      <c r="G13" s="6" t="s">
        <v>95</v>
      </c>
      <c r="H13" s="6" t="s">
        <v>64</v>
      </c>
      <c r="I13" s="8" t="s">
        <v>83</v>
      </c>
      <c r="J13" s="9">
        <v>1</v>
      </c>
      <c r="K13" s="9">
        <v>421</v>
      </c>
      <c r="L13" s="9">
        <v>2023</v>
      </c>
      <c r="M13" s="8" t="s">
        <v>96</v>
      </c>
      <c r="N13" s="8" t="s">
        <v>41</v>
      </c>
      <c r="O13" s="8" t="s">
        <v>97</v>
      </c>
      <c r="P13" s="6" t="s">
        <v>67</v>
      </c>
      <c r="Q13" s="8" t="s">
        <v>86</v>
      </c>
      <c r="R13" s="10" t="s">
        <v>98</v>
      </c>
      <c r="S13" s="11" t="s">
        <v>99</v>
      </c>
      <c r="T13" s="6"/>
      <c r="U13" s="28" t="str">
        <f>HYPERLINK("https://media.infra-m.ru/1831/1831614/cover/1831614.jpg", "Обложка")</f>
        <v>Обложка</v>
      </c>
      <c r="V13" s="28" t="str">
        <f>HYPERLINK("https://znanium.com/catalog/product/1831614", "Ознакомиться")</f>
        <v>Ознакомиться</v>
      </c>
      <c r="W13" s="8" t="s">
        <v>100</v>
      </c>
      <c r="X13" s="6"/>
      <c r="Y13" s="6"/>
      <c r="Z13" s="6"/>
      <c r="AA13" s="6" t="s">
        <v>101</v>
      </c>
    </row>
    <row r="14" spans="1:27" s="4" customFormat="1" ht="51.95" customHeight="1">
      <c r="A14" s="5">
        <v>0</v>
      </c>
      <c r="B14" s="6" t="s">
        <v>102</v>
      </c>
      <c r="C14" s="13">
        <v>1050</v>
      </c>
      <c r="D14" s="8" t="s">
        <v>103</v>
      </c>
      <c r="E14" s="8" t="s">
        <v>104</v>
      </c>
      <c r="F14" s="8" t="s">
        <v>105</v>
      </c>
      <c r="G14" s="6" t="s">
        <v>95</v>
      </c>
      <c r="H14" s="6" t="s">
        <v>64</v>
      </c>
      <c r="I14" s="8" t="s">
        <v>106</v>
      </c>
      <c r="J14" s="9">
        <v>1</v>
      </c>
      <c r="K14" s="9">
        <v>220</v>
      </c>
      <c r="L14" s="9">
        <v>2023</v>
      </c>
      <c r="M14" s="8" t="s">
        <v>107</v>
      </c>
      <c r="N14" s="8" t="s">
        <v>41</v>
      </c>
      <c r="O14" s="8" t="s">
        <v>85</v>
      </c>
      <c r="P14" s="6" t="s">
        <v>67</v>
      </c>
      <c r="Q14" s="8" t="s">
        <v>55</v>
      </c>
      <c r="R14" s="10" t="s">
        <v>108</v>
      </c>
      <c r="S14" s="11" t="s">
        <v>109</v>
      </c>
      <c r="T14" s="6"/>
      <c r="U14" s="28" t="str">
        <f>HYPERLINK("https://media.infra-m.ru/1371/1371622/cover/1371622.jpg", "Обложка")</f>
        <v>Обложка</v>
      </c>
      <c r="V14" s="28" t="str">
        <f>HYPERLINK("https://znanium.com/catalog/product/1371622", "Ознакомиться")</f>
        <v>Ознакомиться</v>
      </c>
      <c r="W14" s="8" t="s">
        <v>110</v>
      </c>
      <c r="X14" s="6" t="s">
        <v>111</v>
      </c>
      <c r="Y14" s="6"/>
      <c r="Z14" s="6"/>
      <c r="AA14" s="6" t="s">
        <v>112</v>
      </c>
    </row>
    <row r="15" spans="1:27" s="4" customFormat="1" ht="51.95" customHeight="1">
      <c r="A15" s="5">
        <v>0</v>
      </c>
      <c r="B15" s="6" t="s">
        <v>113</v>
      </c>
      <c r="C15" s="13">
        <v>1270</v>
      </c>
      <c r="D15" s="8" t="s">
        <v>114</v>
      </c>
      <c r="E15" s="8" t="s">
        <v>115</v>
      </c>
      <c r="F15" s="8" t="s">
        <v>116</v>
      </c>
      <c r="G15" s="6" t="s">
        <v>63</v>
      </c>
      <c r="H15" s="6" t="s">
        <v>64</v>
      </c>
      <c r="I15" s="8" t="s">
        <v>65</v>
      </c>
      <c r="J15" s="9">
        <v>1</v>
      </c>
      <c r="K15" s="9">
        <v>276</v>
      </c>
      <c r="L15" s="9">
        <v>2024</v>
      </c>
      <c r="M15" s="8" t="s">
        <v>117</v>
      </c>
      <c r="N15" s="8" t="s">
        <v>41</v>
      </c>
      <c r="O15" s="8" t="s">
        <v>97</v>
      </c>
      <c r="P15" s="6" t="s">
        <v>67</v>
      </c>
      <c r="Q15" s="8" t="s">
        <v>55</v>
      </c>
      <c r="R15" s="10" t="s">
        <v>118</v>
      </c>
      <c r="S15" s="11" t="s">
        <v>119</v>
      </c>
      <c r="T15" s="6"/>
      <c r="U15" s="28" t="str">
        <f>HYPERLINK("https://media.infra-m.ru/2084/2084385/cover/2084385.jpg", "Обложка")</f>
        <v>Обложка</v>
      </c>
      <c r="V15" s="28" t="str">
        <f>HYPERLINK("https://znanium.com/catalog/product/2084385", "Ознакомиться")</f>
        <v>Ознакомиться</v>
      </c>
      <c r="W15" s="8" t="s">
        <v>120</v>
      </c>
      <c r="X15" s="6"/>
      <c r="Y15" s="6"/>
      <c r="Z15" s="6"/>
      <c r="AA15" s="6" t="s">
        <v>121</v>
      </c>
    </row>
    <row r="16" spans="1:27" s="4" customFormat="1" ht="42" customHeight="1">
      <c r="A16" s="5">
        <v>0</v>
      </c>
      <c r="B16" s="6" t="s">
        <v>122</v>
      </c>
      <c r="C16" s="7">
        <v>920</v>
      </c>
      <c r="D16" s="8" t="s">
        <v>123</v>
      </c>
      <c r="E16" s="8" t="s">
        <v>124</v>
      </c>
      <c r="F16" s="8" t="s">
        <v>116</v>
      </c>
      <c r="G16" s="6" t="s">
        <v>63</v>
      </c>
      <c r="H16" s="6" t="s">
        <v>125</v>
      </c>
      <c r="I16" s="8"/>
      <c r="J16" s="9">
        <v>1</v>
      </c>
      <c r="K16" s="9">
        <v>269</v>
      </c>
      <c r="L16" s="9">
        <v>2020</v>
      </c>
      <c r="M16" s="8" t="s">
        <v>126</v>
      </c>
      <c r="N16" s="8" t="s">
        <v>41</v>
      </c>
      <c r="O16" s="8" t="s">
        <v>97</v>
      </c>
      <c r="P16" s="6" t="s">
        <v>67</v>
      </c>
      <c r="Q16" s="8" t="s">
        <v>55</v>
      </c>
      <c r="R16" s="10" t="s">
        <v>118</v>
      </c>
      <c r="S16" s="11"/>
      <c r="T16" s="6"/>
      <c r="U16" s="28" t="str">
        <f>HYPERLINK("https://media.infra-m.ru/1063/1063801/cover/1063801.jpg", "Обложка")</f>
        <v>Обложка</v>
      </c>
      <c r="V16" s="28" t="str">
        <f>HYPERLINK("https://znanium.com/catalog/product/2084385", "Ознакомиться")</f>
        <v>Ознакомиться</v>
      </c>
      <c r="W16" s="8" t="s">
        <v>120</v>
      </c>
      <c r="X16" s="6"/>
      <c r="Y16" s="6"/>
      <c r="Z16" s="6"/>
      <c r="AA16" s="6" t="s">
        <v>127</v>
      </c>
    </row>
    <row r="17" spans="1:27" s="4" customFormat="1" ht="51.95" customHeight="1">
      <c r="A17" s="5">
        <v>0</v>
      </c>
      <c r="B17" s="6" t="s">
        <v>128</v>
      </c>
      <c r="C17" s="7">
        <v>990</v>
      </c>
      <c r="D17" s="8" t="s">
        <v>129</v>
      </c>
      <c r="E17" s="8" t="s">
        <v>130</v>
      </c>
      <c r="F17" s="8" t="s">
        <v>131</v>
      </c>
      <c r="G17" s="6" t="s">
        <v>63</v>
      </c>
      <c r="H17" s="6" t="s">
        <v>64</v>
      </c>
      <c r="I17" s="8" t="s">
        <v>132</v>
      </c>
      <c r="J17" s="9">
        <v>1</v>
      </c>
      <c r="K17" s="9">
        <v>211</v>
      </c>
      <c r="L17" s="9">
        <v>2023</v>
      </c>
      <c r="M17" s="8" t="s">
        <v>133</v>
      </c>
      <c r="N17" s="8" t="s">
        <v>41</v>
      </c>
      <c r="O17" s="8" t="s">
        <v>85</v>
      </c>
      <c r="P17" s="6" t="s">
        <v>67</v>
      </c>
      <c r="Q17" s="8" t="s">
        <v>134</v>
      </c>
      <c r="R17" s="10" t="s">
        <v>135</v>
      </c>
      <c r="S17" s="11" t="s">
        <v>136</v>
      </c>
      <c r="T17" s="6"/>
      <c r="U17" s="28" t="str">
        <f>HYPERLINK("https://media.infra-m.ru/2023/2023960/cover/2023960.jpg", "Обложка")</f>
        <v>Обложка</v>
      </c>
      <c r="V17" s="28" t="str">
        <f>HYPERLINK("https://znanium.com/catalog/product/1839710", "Ознакомиться")</f>
        <v>Ознакомиться</v>
      </c>
      <c r="W17" s="8" t="s">
        <v>110</v>
      </c>
      <c r="X17" s="6"/>
      <c r="Y17" s="6"/>
      <c r="Z17" s="6"/>
      <c r="AA17" s="6" t="s">
        <v>112</v>
      </c>
    </row>
    <row r="18" spans="1:27" s="4" customFormat="1" ht="51.95" customHeight="1">
      <c r="A18" s="5">
        <v>0</v>
      </c>
      <c r="B18" s="6" t="s">
        <v>137</v>
      </c>
      <c r="C18" s="13">
        <v>1960</v>
      </c>
      <c r="D18" s="8" t="s">
        <v>138</v>
      </c>
      <c r="E18" s="8" t="s">
        <v>139</v>
      </c>
      <c r="F18" s="8" t="s">
        <v>140</v>
      </c>
      <c r="G18" s="6" t="s">
        <v>63</v>
      </c>
      <c r="H18" s="6" t="s">
        <v>64</v>
      </c>
      <c r="I18" s="8" t="s">
        <v>132</v>
      </c>
      <c r="J18" s="9">
        <v>1</v>
      </c>
      <c r="K18" s="9">
        <v>434</v>
      </c>
      <c r="L18" s="9">
        <v>2023</v>
      </c>
      <c r="M18" s="8" t="s">
        <v>141</v>
      </c>
      <c r="N18" s="8" t="s">
        <v>41</v>
      </c>
      <c r="O18" s="8" t="s">
        <v>97</v>
      </c>
      <c r="P18" s="6" t="s">
        <v>67</v>
      </c>
      <c r="Q18" s="8" t="s">
        <v>134</v>
      </c>
      <c r="R18" s="10" t="s">
        <v>142</v>
      </c>
      <c r="S18" s="11" t="s">
        <v>143</v>
      </c>
      <c r="T18" s="6" t="s">
        <v>144</v>
      </c>
      <c r="U18" s="28" t="str">
        <f>HYPERLINK("https://media.infra-m.ru/2005/2005177/cover/2005177.jpg", "Обложка")</f>
        <v>Обложка</v>
      </c>
      <c r="V18" s="28" t="str">
        <f>HYPERLINK("https://znanium.com/catalog/product/2005177", "Ознакомиться")</f>
        <v>Ознакомиться</v>
      </c>
      <c r="W18" s="8" t="s">
        <v>110</v>
      </c>
      <c r="X18" s="6"/>
      <c r="Y18" s="6"/>
      <c r="Z18" s="6"/>
      <c r="AA18" s="6" t="s">
        <v>145</v>
      </c>
    </row>
    <row r="19" spans="1:27" s="4" customFormat="1" ht="51.95" customHeight="1">
      <c r="A19" s="5">
        <v>0</v>
      </c>
      <c r="B19" s="6" t="s">
        <v>146</v>
      </c>
      <c r="C19" s="13">
        <v>1390</v>
      </c>
      <c r="D19" s="8" t="s">
        <v>147</v>
      </c>
      <c r="E19" s="8" t="s">
        <v>148</v>
      </c>
      <c r="F19" s="8" t="s">
        <v>149</v>
      </c>
      <c r="G19" s="6" t="s">
        <v>63</v>
      </c>
      <c r="H19" s="6" t="s">
        <v>125</v>
      </c>
      <c r="I19" s="8"/>
      <c r="J19" s="9">
        <v>1</v>
      </c>
      <c r="K19" s="9">
        <v>432</v>
      </c>
      <c r="L19" s="9">
        <v>2019</v>
      </c>
      <c r="M19" s="8" t="s">
        <v>150</v>
      </c>
      <c r="N19" s="8" t="s">
        <v>41</v>
      </c>
      <c r="O19" s="8" t="s">
        <v>97</v>
      </c>
      <c r="P19" s="6" t="s">
        <v>67</v>
      </c>
      <c r="Q19" s="8" t="s">
        <v>86</v>
      </c>
      <c r="R19" s="10" t="s">
        <v>142</v>
      </c>
      <c r="S19" s="11" t="s">
        <v>151</v>
      </c>
      <c r="T19" s="6" t="s">
        <v>144</v>
      </c>
      <c r="U19" s="28" t="str">
        <f>HYPERLINK("https://media.infra-m.ru/1012/1012372/cover/1012372.jpg", "Обложка")</f>
        <v>Обложка</v>
      </c>
      <c r="V19" s="28" t="str">
        <f>HYPERLINK("https://znanium.com/catalog/product/2005177", "Ознакомиться")</f>
        <v>Ознакомиться</v>
      </c>
      <c r="W19" s="8" t="s">
        <v>110</v>
      </c>
      <c r="X19" s="6"/>
      <c r="Y19" s="6"/>
      <c r="Z19" s="6"/>
      <c r="AA19" s="6" t="s">
        <v>152</v>
      </c>
    </row>
    <row r="20" spans="1:27" s="4" customFormat="1" ht="51.95" customHeight="1">
      <c r="A20" s="5">
        <v>0</v>
      </c>
      <c r="B20" s="6" t="s">
        <v>153</v>
      </c>
      <c r="C20" s="13">
        <v>1660</v>
      </c>
      <c r="D20" s="8" t="s">
        <v>154</v>
      </c>
      <c r="E20" s="8" t="s">
        <v>130</v>
      </c>
      <c r="F20" s="8" t="s">
        <v>155</v>
      </c>
      <c r="G20" s="6" t="s">
        <v>63</v>
      </c>
      <c r="H20" s="6" t="s">
        <v>64</v>
      </c>
      <c r="I20" s="8" t="s">
        <v>83</v>
      </c>
      <c r="J20" s="9">
        <v>1</v>
      </c>
      <c r="K20" s="9">
        <v>356</v>
      </c>
      <c r="L20" s="9">
        <v>2023</v>
      </c>
      <c r="M20" s="8" t="s">
        <v>156</v>
      </c>
      <c r="N20" s="8" t="s">
        <v>41</v>
      </c>
      <c r="O20" s="8" t="s">
        <v>97</v>
      </c>
      <c r="P20" s="6" t="s">
        <v>67</v>
      </c>
      <c r="Q20" s="8" t="s">
        <v>86</v>
      </c>
      <c r="R20" s="10" t="s">
        <v>157</v>
      </c>
      <c r="S20" s="11" t="s">
        <v>158</v>
      </c>
      <c r="T20" s="6"/>
      <c r="U20" s="28" t="str">
        <f>HYPERLINK("https://media.infra-m.ru/2032/2032541/cover/2032541.jpg", "Обложка")</f>
        <v>Обложка</v>
      </c>
      <c r="V20" s="28" t="str">
        <f>HYPERLINK("https://znanium.com/catalog/product/1844341", "Ознакомиться")</f>
        <v>Ознакомиться</v>
      </c>
      <c r="W20" s="8" t="s">
        <v>159</v>
      </c>
      <c r="X20" s="6"/>
      <c r="Y20" s="6"/>
      <c r="Z20" s="6"/>
      <c r="AA20" s="6" t="s">
        <v>112</v>
      </c>
    </row>
    <row r="21" spans="1:27" s="4" customFormat="1" ht="51.95" customHeight="1">
      <c r="A21" s="5">
        <v>0</v>
      </c>
      <c r="B21" s="6" t="s">
        <v>160</v>
      </c>
      <c r="C21" s="13">
        <v>1654</v>
      </c>
      <c r="D21" s="8" t="s">
        <v>161</v>
      </c>
      <c r="E21" s="8" t="s">
        <v>162</v>
      </c>
      <c r="F21" s="8" t="s">
        <v>105</v>
      </c>
      <c r="G21" s="6" t="s">
        <v>63</v>
      </c>
      <c r="H21" s="6" t="s">
        <v>64</v>
      </c>
      <c r="I21" s="8" t="s">
        <v>106</v>
      </c>
      <c r="J21" s="9">
        <v>1</v>
      </c>
      <c r="K21" s="9">
        <v>366</v>
      </c>
      <c r="L21" s="9">
        <v>2023</v>
      </c>
      <c r="M21" s="8" t="s">
        <v>163</v>
      </c>
      <c r="N21" s="8" t="s">
        <v>41</v>
      </c>
      <c r="O21" s="8" t="s">
        <v>97</v>
      </c>
      <c r="P21" s="6" t="s">
        <v>67</v>
      </c>
      <c r="Q21" s="8" t="s">
        <v>55</v>
      </c>
      <c r="R21" s="10" t="s">
        <v>164</v>
      </c>
      <c r="S21" s="11" t="s">
        <v>165</v>
      </c>
      <c r="T21" s="6"/>
      <c r="U21" s="28" t="str">
        <f>HYPERLINK("https://media.infra-m.ru/2023/2023199/cover/2023199.jpg", "Обложка")</f>
        <v>Обложка</v>
      </c>
      <c r="V21" s="28" t="str">
        <f>HYPERLINK("https://znanium.com/catalog/product/1067793", "Ознакомиться")</f>
        <v>Ознакомиться</v>
      </c>
      <c r="W21" s="8" t="s">
        <v>110</v>
      </c>
      <c r="X21" s="6"/>
      <c r="Y21" s="6"/>
      <c r="Z21" s="6"/>
      <c r="AA21" s="6" t="s">
        <v>166</v>
      </c>
    </row>
    <row r="22" spans="1:27" s="4" customFormat="1" ht="51.95" customHeight="1">
      <c r="A22" s="5">
        <v>0</v>
      </c>
      <c r="B22" s="6" t="s">
        <v>167</v>
      </c>
      <c r="C22" s="7">
        <v>730</v>
      </c>
      <c r="D22" s="8" t="s">
        <v>168</v>
      </c>
      <c r="E22" s="8" t="s">
        <v>169</v>
      </c>
      <c r="F22" s="8" t="s">
        <v>170</v>
      </c>
      <c r="G22" s="6" t="s">
        <v>37</v>
      </c>
      <c r="H22" s="6" t="s">
        <v>64</v>
      </c>
      <c r="I22" s="8" t="s">
        <v>39</v>
      </c>
      <c r="J22" s="9">
        <v>1</v>
      </c>
      <c r="K22" s="9">
        <v>186</v>
      </c>
      <c r="L22" s="9">
        <v>2022</v>
      </c>
      <c r="M22" s="8" t="s">
        <v>171</v>
      </c>
      <c r="N22" s="8" t="s">
        <v>41</v>
      </c>
      <c r="O22" s="8" t="s">
        <v>97</v>
      </c>
      <c r="P22" s="6" t="s">
        <v>43</v>
      </c>
      <c r="Q22" s="8" t="s">
        <v>44</v>
      </c>
      <c r="R22" s="10" t="s">
        <v>172</v>
      </c>
      <c r="S22" s="11"/>
      <c r="T22" s="6"/>
      <c r="U22" s="28" t="str">
        <f>HYPERLINK("https://media.infra-m.ru/1854/1854744/cover/1854744.jpg", "Обложка")</f>
        <v>Обложка</v>
      </c>
      <c r="V22" s="28" t="str">
        <f>HYPERLINK("https://znanium.com/catalog/product/1854744", "Ознакомиться")</f>
        <v>Ознакомиться</v>
      </c>
      <c r="W22" s="8" t="s">
        <v>110</v>
      </c>
      <c r="X22" s="6"/>
      <c r="Y22" s="6"/>
      <c r="Z22" s="6"/>
      <c r="AA22" s="6" t="s">
        <v>47</v>
      </c>
    </row>
    <row r="23" spans="1:27" s="4" customFormat="1" ht="42" customHeight="1">
      <c r="A23" s="5">
        <v>0</v>
      </c>
      <c r="B23" s="6" t="s">
        <v>173</v>
      </c>
      <c r="C23" s="7">
        <v>590</v>
      </c>
      <c r="D23" s="8" t="s">
        <v>174</v>
      </c>
      <c r="E23" s="8" t="s">
        <v>175</v>
      </c>
      <c r="F23" s="8" t="s">
        <v>176</v>
      </c>
      <c r="G23" s="6" t="s">
        <v>37</v>
      </c>
      <c r="H23" s="6" t="s">
        <v>38</v>
      </c>
      <c r="I23" s="8" t="s">
        <v>39</v>
      </c>
      <c r="J23" s="9">
        <v>1</v>
      </c>
      <c r="K23" s="9">
        <v>138</v>
      </c>
      <c r="L23" s="9">
        <v>2022</v>
      </c>
      <c r="M23" s="8" t="s">
        <v>177</v>
      </c>
      <c r="N23" s="8" t="s">
        <v>41</v>
      </c>
      <c r="O23" s="8" t="s">
        <v>42</v>
      </c>
      <c r="P23" s="6" t="s">
        <v>43</v>
      </c>
      <c r="Q23" s="8" t="s">
        <v>44</v>
      </c>
      <c r="R23" s="10" t="s">
        <v>178</v>
      </c>
      <c r="S23" s="11"/>
      <c r="T23" s="6"/>
      <c r="U23" s="28" t="str">
        <f>HYPERLINK("https://media.infra-m.ru/1850/1850629/cover/1850629.jpg", "Обложка")</f>
        <v>Обложка</v>
      </c>
      <c r="V23" s="28" t="str">
        <f>HYPERLINK("https://znanium.com/catalog/product/1850629", "Ознакомиться")</f>
        <v>Ознакомиться</v>
      </c>
      <c r="W23" s="8" t="s">
        <v>179</v>
      </c>
      <c r="X23" s="6"/>
      <c r="Y23" s="6"/>
      <c r="Z23" s="6"/>
      <c r="AA23" s="6" t="s">
        <v>180</v>
      </c>
    </row>
    <row r="24" spans="1:27" s="4" customFormat="1" ht="51.95" customHeight="1">
      <c r="A24" s="5">
        <v>0</v>
      </c>
      <c r="B24" s="6" t="s">
        <v>181</v>
      </c>
      <c r="C24" s="13">
        <v>1900</v>
      </c>
      <c r="D24" s="8" t="s">
        <v>182</v>
      </c>
      <c r="E24" s="8" t="s">
        <v>183</v>
      </c>
      <c r="F24" s="8" t="s">
        <v>184</v>
      </c>
      <c r="G24" s="6" t="s">
        <v>95</v>
      </c>
      <c r="H24" s="6" t="s">
        <v>64</v>
      </c>
      <c r="I24" s="8" t="s">
        <v>185</v>
      </c>
      <c r="J24" s="9">
        <v>1</v>
      </c>
      <c r="K24" s="9">
        <v>413</v>
      </c>
      <c r="L24" s="9">
        <v>2024</v>
      </c>
      <c r="M24" s="8" t="s">
        <v>186</v>
      </c>
      <c r="N24" s="8" t="s">
        <v>41</v>
      </c>
      <c r="O24" s="8" t="s">
        <v>97</v>
      </c>
      <c r="P24" s="6" t="s">
        <v>67</v>
      </c>
      <c r="Q24" s="8" t="s">
        <v>86</v>
      </c>
      <c r="R24" s="10" t="s">
        <v>187</v>
      </c>
      <c r="S24" s="11" t="s">
        <v>188</v>
      </c>
      <c r="T24" s="6"/>
      <c r="U24" s="28" t="str">
        <f>HYPERLINK("https://media.infra-m.ru/2110/2110956/cover/2110956.jpg", "Обложка")</f>
        <v>Обложка</v>
      </c>
      <c r="V24" s="28" t="str">
        <f>HYPERLINK("https://znanium.com/catalog/product/2110956", "Ознакомиться")</f>
        <v>Ознакомиться</v>
      </c>
      <c r="W24" s="8" t="s">
        <v>189</v>
      </c>
      <c r="X24" s="6"/>
      <c r="Y24" s="6"/>
      <c r="Z24" s="6"/>
      <c r="AA24" s="6" t="s">
        <v>71</v>
      </c>
    </row>
    <row r="25" spans="1:27" s="4" customFormat="1" ht="51.95" customHeight="1">
      <c r="A25" s="5">
        <v>0</v>
      </c>
      <c r="B25" s="6" t="s">
        <v>190</v>
      </c>
      <c r="C25" s="13">
        <v>1664.9</v>
      </c>
      <c r="D25" s="8" t="s">
        <v>191</v>
      </c>
      <c r="E25" s="8" t="s">
        <v>183</v>
      </c>
      <c r="F25" s="8" t="s">
        <v>184</v>
      </c>
      <c r="G25" s="6" t="s">
        <v>95</v>
      </c>
      <c r="H25" s="6" t="s">
        <v>64</v>
      </c>
      <c r="I25" s="8" t="s">
        <v>192</v>
      </c>
      <c r="J25" s="9">
        <v>1</v>
      </c>
      <c r="K25" s="9">
        <v>370</v>
      </c>
      <c r="L25" s="9">
        <v>2023</v>
      </c>
      <c r="M25" s="8" t="s">
        <v>193</v>
      </c>
      <c r="N25" s="8" t="s">
        <v>41</v>
      </c>
      <c r="O25" s="8" t="s">
        <v>97</v>
      </c>
      <c r="P25" s="6" t="s">
        <v>67</v>
      </c>
      <c r="Q25" s="8" t="s">
        <v>194</v>
      </c>
      <c r="R25" s="10" t="s">
        <v>195</v>
      </c>
      <c r="S25" s="11" t="s">
        <v>196</v>
      </c>
      <c r="T25" s="6"/>
      <c r="U25" s="28" t="str">
        <f>HYPERLINK("https://media.infra-m.ru/1976/1976142/cover/1976142.jpg", "Обложка")</f>
        <v>Обложка</v>
      </c>
      <c r="V25" s="28" t="str">
        <f>HYPERLINK("https://znanium.com/catalog/product/1016620", "Ознакомиться")</f>
        <v>Ознакомиться</v>
      </c>
      <c r="W25" s="8" t="s">
        <v>189</v>
      </c>
      <c r="X25" s="6"/>
      <c r="Y25" s="6"/>
      <c r="Z25" s="6" t="s">
        <v>197</v>
      </c>
      <c r="AA25" s="6" t="s">
        <v>166</v>
      </c>
    </row>
    <row r="26" spans="1:27" s="4" customFormat="1" ht="51.95" customHeight="1">
      <c r="A26" s="5">
        <v>0</v>
      </c>
      <c r="B26" s="6" t="s">
        <v>198</v>
      </c>
      <c r="C26" s="13">
        <v>1000</v>
      </c>
      <c r="D26" s="8" t="s">
        <v>199</v>
      </c>
      <c r="E26" s="8" t="s">
        <v>200</v>
      </c>
      <c r="F26" s="8" t="s">
        <v>201</v>
      </c>
      <c r="G26" s="6" t="s">
        <v>95</v>
      </c>
      <c r="H26" s="6" t="s">
        <v>64</v>
      </c>
      <c r="I26" s="8" t="s">
        <v>202</v>
      </c>
      <c r="J26" s="9">
        <v>1</v>
      </c>
      <c r="K26" s="9">
        <v>345</v>
      </c>
      <c r="L26" s="9">
        <v>2018</v>
      </c>
      <c r="M26" s="8" t="s">
        <v>203</v>
      </c>
      <c r="N26" s="8" t="s">
        <v>41</v>
      </c>
      <c r="O26" s="8" t="s">
        <v>97</v>
      </c>
      <c r="P26" s="6" t="s">
        <v>67</v>
      </c>
      <c r="Q26" s="8" t="s">
        <v>55</v>
      </c>
      <c r="R26" s="10" t="s">
        <v>204</v>
      </c>
      <c r="S26" s="11" t="s">
        <v>205</v>
      </c>
      <c r="T26" s="6"/>
      <c r="U26" s="28" t="str">
        <f>HYPERLINK("https://media.infra-m.ru/0941/0941135/cover/941135.jpg", "Обложка")</f>
        <v>Обложка</v>
      </c>
      <c r="V26" s="28" t="str">
        <f>HYPERLINK("https://znanium.com/catalog/product/1014292", "Ознакомиться")</f>
        <v>Ознакомиться</v>
      </c>
      <c r="W26" s="8" t="s">
        <v>120</v>
      </c>
      <c r="X26" s="6"/>
      <c r="Y26" s="6"/>
      <c r="Z26" s="6"/>
      <c r="AA26" s="6" t="s">
        <v>206</v>
      </c>
    </row>
    <row r="27" spans="1:27" s="4" customFormat="1" ht="51.95" customHeight="1">
      <c r="A27" s="5">
        <v>0</v>
      </c>
      <c r="B27" s="6" t="s">
        <v>207</v>
      </c>
      <c r="C27" s="7">
        <v>730</v>
      </c>
      <c r="D27" s="8" t="s">
        <v>208</v>
      </c>
      <c r="E27" s="8" t="s">
        <v>209</v>
      </c>
      <c r="F27" s="8" t="s">
        <v>210</v>
      </c>
      <c r="G27" s="6" t="s">
        <v>37</v>
      </c>
      <c r="H27" s="6" t="s">
        <v>64</v>
      </c>
      <c r="I27" s="8" t="s">
        <v>39</v>
      </c>
      <c r="J27" s="9">
        <v>1</v>
      </c>
      <c r="K27" s="9">
        <v>207</v>
      </c>
      <c r="L27" s="9">
        <v>2020</v>
      </c>
      <c r="M27" s="8" t="s">
        <v>211</v>
      </c>
      <c r="N27" s="8" t="s">
        <v>41</v>
      </c>
      <c r="O27" s="8" t="s">
        <v>97</v>
      </c>
      <c r="P27" s="6" t="s">
        <v>43</v>
      </c>
      <c r="Q27" s="8" t="s">
        <v>44</v>
      </c>
      <c r="R27" s="10" t="s">
        <v>172</v>
      </c>
      <c r="S27" s="11"/>
      <c r="T27" s="6" t="s">
        <v>144</v>
      </c>
      <c r="U27" s="28" t="str">
        <f>HYPERLINK("https://media.infra-m.ru/1028/1028965/cover/1028965.jpg", "Обложка")</f>
        <v>Обложка</v>
      </c>
      <c r="V27" s="28" t="str">
        <f>HYPERLINK("https://znanium.com/catalog/product/1028965", "Ознакомиться")</f>
        <v>Ознакомиться</v>
      </c>
      <c r="W27" s="8" t="s">
        <v>212</v>
      </c>
      <c r="X27" s="6"/>
      <c r="Y27" s="6"/>
      <c r="Z27" s="6"/>
      <c r="AA27" s="6" t="s">
        <v>47</v>
      </c>
    </row>
    <row r="28" spans="1:27" s="4" customFormat="1" ht="51.95" customHeight="1">
      <c r="A28" s="5">
        <v>0</v>
      </c>
      <c r="B28" s="6" t="s">
        <v>213</v>
      </c>
      <c r="C28" s="13">
        <v>2680</v>
      </c>
      <c r="D28" s="8" t="s">
        <v>214</v>
      </c>
      <c r="E28" s="8" t="s">
        <v>215</v>
      </c>
      <c r="F28" s="8" t="s">
        <v>216</v>
      </c>
      <c r="G28" s="6" t="s">
        <v>63</v>
      </c>
      <c r="H28" s="6" t="s">
        <v>64</v>
      </c>
      <c r="I28" s="8" t="s">
        <v>217</v>
      </c>
      <c r="J28" s="9">
        <v>1</v>
      </c>
      <c r="K28" s="9">
        <v>594</v>
      </c>
      <c r="L28" s="9">
        <v>2022</v>
      </c>
      <c r="M28" s="8" t="s">
        <v>218</v>
      </c>
      <c r="N28" s="8" t="s">
        <v>41</v>
      </c>
      <c r="O28" s="8" t="s">
        <v>97</v>
      </c>
      <c r="P28" s="6" t="s">
        <v>54</v>
      </c>
      <c r="Q28" s="8" t="s">
        <v>86</v>
      </c>
      <c r="R28" s="10" t="s">
        <v>219</v>
      </c>
      <c r="S28" s="11" t="s">
        <v>220</v>
      </c>
      <c r="T28" s="6"/>
      <c r="U28" s="28" t="str">
        <f>HYPERLINK("https://media.infra-m.ru/1462/1462565/cover/1462565.jpg", "Обложка")</f>
        <v>Обложка</v>
      </c>
      <c r="V28" s="28" t="str">
        <f>HYPERLINK("https://znanium.com/catalog/product/1462565", "Ознакомиться")</f>
        <v>Ознакомиться</v>
      </c>
      <c r="W28" s="8" t="s">
        <v>110</v>
      </c>
      <c r="X28" s="6"/>
      <c r="Y28" s="6"/>
      <c r="Z28" s="6"/>
      <c r="AA28" s="6" t="s">
        <v>221</v>
      </c>
    </row>
    <row r="29" spans="1:27" s="4" customFormat="1" ht="51.95" customHeight="1">
      <c r="A29" s="5">
        <v>0</v>
      </c>
      <c r="B29" s="6" t="s">
        <v>222</v>
      </c>
      <c r="C29" s="7">
        <v>934</v>
      </c>
      <c r="D29" s="8" t="s">
        <v>223</v>
      </c>
      <c r="E29" s="8" t="s">
        <v>224</v>
      </c>
      <c r="F29" s="8" t="s">
        <v>225</v>
      </c>
      <c r="G29" s="6" t="s">
        <v>95</v>
      </c>
      <c r="H29" s="6" t="s">
        <v>64</v>
      </c>
      <c r="I29" s="8" t="s">
        <v>65</v>
      </c>
      <c r="J29" s="9">
        <v>1</v>
      </c>
      <c r="K29" s="9">
        <v>206</v>
      </c>
      <c r="L29" s="9">
        <v>2023</v>
      </c>
      <c r="M29" s="8" t="s">
        <v>226</v>
      </c>
      <c r="N29" s="8" t="s">
        <v>41</v>
      </c>
      <c r="O29" s="8" t="s">
        <v>97</v>
      </c>
      <c r="P29" s="6" t="s">
        <v>54</v>
      </c>
      <c r="Q29" s="8" t="s">
        <v>55</v>
      </c>
      <c r="R29" s="10" t="s">
        <v>227</v>
      </c>
      <c r="S29" s="11" t="s">
        <v>228</v>
      </c>
      <c r="T29" s="6"/>
      <c r="U29" s="28" t="str">
        <f>HYPERLINK("https://media.infra-m.ru/2006/2006943/cover/2006943.jpg", "Обложка")</f>
        <v>Обложка</v>
      </c>
      <c r="V29" s="28" t="str">
        <f>HYPERLINK("https://znanium.com/catalog/product/1060348", "Ознакомиться")</f>
        <v>Ознакомиться</v>
      </c>
      <c r="W29" s="8" t="s">
        <v>229</v>
      </c>
      <c r="X29" s="6"/>
      <c r="Y29" s="6"/>
      <c r="Z29" s="6"/>
      <c r="AA29" s="6" t="s">
        <v>58</v>
      </c>
    </row>
    <row r="30" spans="1:27" s="4" customFormat="1" ht="51.95" customHeight="1">
      <c r="A30" s="5">
        <v>0</v>
      </c>
      <c r="B30" s="6" t="s">
        <v>230</v>
      </c>
      <c r="C30" s="7">
        <v>450</v>
      </c>
      <c r="D30" s="8" t="s">
        <v>231</v>
      </c>
      <c r="E30" s="8" t="s">
        <v>232</v>
      </c>
      <c r="F30" s="8" t="s">
        <v>233</v>
      </c>
      <c r="G30" s="6" t="s">
        <v>37</v>
      </c>
      <c r="H30" s="6" t="s">
        <v>64</v>
      </c>
      <c r="I30" s="8" t="s">
        <v>39</v>
      </c>
      <c r="J30" s="9">
        <v>1</v>
      </c>
      <c r="K30" s="9">
        <v>100</v>
      </c>
      <c r="L30" s="9">
        <v>2023</v>
      </c>
      <c r="M30" s="8" t="s">
        <v>234</v>
      </c>
      <c r="N30" s="8" t="s">
        <v>41</v>
      </c>
      <c r="O30" s="8" t="s">
        <v>97</v>
      </c>
      <c r="P30" s="6" t="s">
        <v>43</v>
      </c>
      <c r="Q30" s="8" t="s">
        <v>44</v>
      </c>
      <c r="R30" s="10" t="s">
        <v>235</v>
      </c>
      <c r="S30" s="11"/>
      <c r="T30" s="6"/>
      <c r="U30" s="28" t="str">
        <f>HYPERLINK("https://media.infra-m.ru/1937/1937993/cover/1937993.jpg", "Обложка")</f>
        <v>Обложка</v>
      </c>
      <c r="V30" s="28" t="str">
        <f>HYPERLINK("https://znanium.com/catalog/product/1937993", "Ознакомиться")</f>
        <v>Ознакомиться</v>
      </c>
      <c r="W30" s="8" t="s">
        <v>236</v>
      </c>
      <c r="X30" s="6"/>
      <c r="Y30" s="6"/>
      <c r="Z30" s="6"/>
      <c r="AA30" s="6" t="s">
        <v>47</v>
      </c>
    </row>
    <row r="31" spans="1:27" s="4" customFormat="1" ht="51.95" customHeight="1">
      <c r="A31" s="5">
        <v>0</v>
      </c>
      <c r="B31" s="6" t="s">
        <v>237</v>
      </c>
      <c r="C31" s="13">
        <v>1300</v>
      </c>
      <c r="D31" s="8" t="s">
        <v>238</v>
      </c>
      <c r="E31" s="8" t="s">
        <v>239</v>
      </c>
      <c r="F31" s="8" t="s">
        <v>240</v>
      </c>
      <c r="G31" s="6" t="s">
        <v>63</v>
      </c>
      <c r="H31" s="6" t="s">
        <v>64</v>
      </c>
      <c r="I31" s="8" t="s">
        <v>83</v>
      </c>
      <c r="J31" s="9">
        <v>1</v>
      </c>
      <c r="K31" s="9">
        <v>281</v>
      </c>
      <c r="L31" s="9">
        <v>2024</v>
      </c>
      <c r="M31" s="8" t="s">
        <v>241</v>
      </c>
      <c r="N31" s="8" t="s">
        <v>41</v>
      </c>
      <c r="O31" s="8" t="s">
        <v>97</v>
      </c>
      <c r="P31" s="6" t="s">
        <v>67</v>
      </c>
      <c r="Q31" s="8" t="s">
        <v>86</v>
      </c>
      <c r="R31" s="10" t="s">
        <v>242</v>
      </c>
      <c r="S31" s="11" t="s">
        <v>243</v>
      </c>
      <c r="T31" s="6" t="s">
        <v>144</v>
      </c>
      <c r="U31" s="28" t="str">
        <f>HYPERLINK("https://media.infra-m.ru/2111/2111349/cover/2111349.jpg", "Обложка")</f>
        <v>Обложка</v>
      </c>
      <c r="V31" s="28" t="str">
        <f>HYPERLINK("https://znanium.com/catalog/product/2111349", "Ознакомиться")</f>
        <v>Ознакомиться</v>
      </c>
      <c r="W31" s="8" t="s">
        <v>236</v>
      </c>
      <c r="X31" s="6"/>
      <c r="Y31" s="6"/>
      <c r="Z31" s="6"/>
      <c r="AA31" s="6" t="s">
        <v>244</v>
      </c>
    </row>
    <row r="32" spans="1:27" s="4" customFormat="1" ht="51.95" customHeight="1">
      <c r="A32" s="5">
        <v>0</v>
      </c>
      <c r="B32" s="6" t="s">
        <v>245</v>
      </c>
      <c r="C32" s="7">
        <v>880</v>
      </c>
      <c r="D32" s="8" t="s">
        <v>246</v>
      </c>
      <c r="E32" s="8" t="s">
        <v>247</v>
      </c>
      <c r="F32" s="8" t="s">
        <v>248</v>
      </c>
      <c r="G32" s="6" t="s">
        <v>63</v>
      </c>
      <c r="H32" s="6" t="s">
        <v>64</v>
      </c>
      <c r="I32" s="8" t="s">
        <v>83</v>
      </c>
      <c r="J32" s="9">
        <v>1</v>
      </c>
      <c r="K32" s="9">
        <v>272</v>
      </c>
      <c r="L32" s="9">
        <v>2019</v>
      </c>
      <c r="M32" s="8" t="s">
        <v>249</v>
      </c>
      <c r="N32" s="8" t="s">
        <v>41</v>
      </c>
      <c r="O32" s="8" t="s">
        <v>97</v>
      </c>
      <c r="P32" s="6" t="s">
        <v>67</v>
      </c>
      <c r="Q32" s="8" t="s">
        <v>86</v>
      </c>
      <c r="R32" s="10" t="s">
        <v>242</v>
      </c>
      <c r="S32" s="11" t="s">
        <v>250</v>
      </c>
      <c r="T32" s="6" t="s">
        <v>144</v>
      </c>
      <c r="U32" s="28" t="str">
        <f>HYPERLINK("https://media.infra-m.ru/0994/0994379/cover/994379.jpg", "Обложка")</f>
        <v>Обложка</v>
      </c>
      <c r="V32" s="28" t="str">
        <f>HYPERLINK("https://znanium.com/catalog/product/2111349", "Ознакомиться")</f>
        <v>Ознакомиться</v>
      </c>
      <c r="W32" s="8" t="s">
        <v>236</v>
      </c>
      <c r="X32" s="6"/>
      <c r="Y32" s="6"/>
      <c r="Z32" s="6"/>
      <c r="AA32" s="6" t="s">
        <v>251</v>
      </c>
    </row>
    <row r="33" spans="1:27" s="4" customFormat="1" ht="51.95" customHeight="1">
      <c r="A33" s="5">
        <v>0</v>
      </c>
      <c r="B33" s="6" t="s">
        <v>252</v>
      </c>
      <c r="C33" s="7">
        <v>880</v>
      </c>
      <c r="D33" s="8" t="s">
        <v>253</v>
      </c>
      <c r="E33" s="8" t="s">
        <v>247</v>
      </c>
      <c r="F33" s="8" t="s">
        <v>240</v>
      </c>
      <c r="G33" s="6" t="s">
        <v>63</v>
      </c>
      <c r="H33" s="6" t="s">
        <v>64</v>
      </c>
      <c r="I33" s="8" t="s">
        <v>192</v>
      </c>
      <c r="J33" s="9">
        <v>1</v>
      </c>
      <c r="K33" s="9">
        <v>272</v>
      </c>
      <c r="L33" s="9">
        <v>2019</v>
      </c>
      <c r="M33" s="8" t="s">
        <v>254</v>
      </c>
      <c r="N33" s="8" t="s">
        <v>41</v>
      </c>
      <c r="O33" s="8" t="s">
        <v>97</v>
      </c>
      <c r="P33" s="6" t="s">
        <v>67</v>
      </c>
      <c r="Q33" s="8" t="s">
        <v>194</v>
      </c>
      <c r="R33" s="10" t="s">
        <v>255</v>
      </c>
      <c r="S33" s="11" t="s">
        <v>256</v>
      </c>
      <c r="T33" s="6" t="s">
        <v>144</v>
      </c>
      <c r="U33" s="28" t="str">
        <f>HYPERLINK("https://media.infra-m.ru/1008/1008371/cover/1008371.jpg", "Обложка")</f>
        <v>Обложка</v>
      </c>
      <c r="V33" s="28" t="str">
        <f>HYPERLINK("https://znanium.com/catalog/product/1065576", "Ознакомиться")</f>
        <v>Ознакомиться</v>
      </c>
      <c r="W33" s="8" t="s">
        <v>236</v>
      </c>
      <c r="X33" s="6"/>
      <c r="Y33" s="6"/>
      <c r="Z33" s="6" t="s">
        <v>197</v>
      </c>
      <c r="AA33" s="6" t="s">
        <v>166</v>
      </c>
    </row>
    <row r="34" spans="1:27" s="4" customFormat="1" ht="51.95" customHeight="1">
      <c r="A34" s="5">
        <v>0</v>
      </c>
      <c r="B34" s="6" t="s">
        <v>257</v>
      </c>
      <c r="C34" s="13">
        <v>1450</v>
      </c>
      <c r="D34" s="8" t="s">
        <v>258</v>
      </c>
      <c r="E34" s="8" t="s">
        <v>239</v>
      </c>
      <c r="F34" s="8" t="s">
        <v>259</v>
      </c>
      <c r="G34" s="6" t="s">
        <v>95</v>
      </c>
      <c r="H34" s="6" t="s">
        <v>64</v>
      </c>
      <c r="I34" s="8" t="s">
        <v>65</v>
      </c>
      <c r="J34" s="9">
        <v>1</v>
      </c>
      <c r="K34" s="9">
        <v>308</v>
      </c>
      <c r="L34" s="9">
        <v>2023</v>
      </c>
      <c r="M34" s="8" t="s">
        <v>260</v>
      </c>
      <c r="N34" s="8" t="s">
        <v>41</v>
      </c>
      <c r="O34" s="8" t="s">
        <v>97</v>
      </c>
      <c r="P34" s="6" t="s">
        <v>67</v>
      </c>
      <c r="Q34" s="8" t="s">
        <v>55</v>
      </c>
      <c r="R34" s="10" t="s">
        <v>204</v>
      </c>
      <c r="S34" s="11" t="s">
        <v>261</v>
      </c>
      <c r="T34" s="6"/>
      <c r="U34" s="28" t="str">
        <f>HYPERLINK("https://media.infra-m.ru/1014/1014292/cover/1014292.jpg", "Обложка")</f>
        <v>Обложка</v>
      </c>
      <c r="V34" s="28" t="str">
        <f>HYPERLINK("https://znanium.com/catalog/product/1014292", "Ознакомиться")</f>
        <v>Ознакомиться</v>
      </c>
      <c r="W34" s="8" t="s">
        <v>120</v>
      </c>
      <c r="X34" s="6" t="s">
        <v>262</v>
      </c>
      <c r="Y34" s="6"/>
      <c r="Z34" s="6"/>
      <c r="AA34" s="6" t="s">
        <v>101</v>
      </c>
    </row>
    <row r="35" spans="1:27" s="4" customFormat="1" ht="51.95" customHeight="1">
      <c r="A35" s="5">
        <v>0</v>
      </c>
      <c r="B35" s="6" t="s">
        <v>263</v>
      </c>
      <c r="C35" s="7">
        <v>674.9</v>
      </c>
      <c r="D35" s="8" t="s">
        <v>264</v>
      </c>
      <c r="E35" s="8" t="s">
        <v>247</v>
      </c>
      <c r="F35" s="8" t="s">
        <v>265</v>
      </c>
      <c r="G35" s="6" t="s">
        <v>95</v>
      </c>
      <c r="H35" s="6" t="s">
        <v>125</v>
      </c>
      <c r="I35" s="8"/>
      <c r="J35" s="9">
        <v>1</v>
      </c>
      <c r="K35" s="9">
        <v>196</v>
      </c>
      <c r="L35" s="9">
        <v>2020</v>
      </c>
      <c r="M35" s="8" t="s">
        <v>266</v>
      </c>
      <c r="N35" s="8" t="s">
        <v>41</v>
      </c>
      <c r="O35" s="8" t="s">
        <v>97</v>
      </c>
      <c r="P35" s="6" t="s">
        <v>54</v>
      </c>
      <c r="Q35" s="8" t="s">
        <v>86</v>
      </c>
      <c r="R35" s="10" t="s">
        <v>267</v>
      </c>
      <c r="S35" s="11" t="s">
        <v>268</v>
      </c>
      <c r="T35" s="6" t="s">
        <v>144</v>
      </c>
      <c r="U35" s="28" t="str">
        <f>HYPERLINK("https://media.infra-m.ru/1081/1081924/cover/1081924.jpg", "Обложка")</f>
        <v>Обложка</v>
      </c>
      <c r="V35" s="28" t="str">
        <f>HYPERLINK("https://znanium.com/catalog/product/1863115", "Ознакомиться")</f>
        <v>Ознакомиться</v>
      </c>
      <c r="W35" s="8" t="s">
        <v>269</v>
      </c>
      <c r="X35" s="6"/>
      <c r="Y35" s="6"/>
      <c r="Z35" s="6"/>
      <c r="AA35" s="6" t="s">
        <v>78</v>
      </c>
    </row>
    <row r="36" spans="1:27" s="4" customFormat="1" ht="51.95" customHeight="1">
      <c r="A36" s="5">
        <v>0</v>
      </c>
      <c r="B36" s="6" t="s">
        <v>270</v>
      </c>
      <c r="C36" s="7">
        <v>614.9</v>
      </c>
      <c r="D36" s="8" t="s">
        <v>271</v>
      </c>
      <c r="E36" s="8" t="s">
        <v>247</v>
      </c>
      <c r="F36" s="8" t="s">
        <v>272</v>
      </c>
      <c r="G36" s="6" t="s">
        <v>37</v>
      </c>
      <c r="H36" s="6" t="s">
        <v>38</v>
      </c>
      <c r="I36" s="8" t="s">
        <v>83</v>
      </c>
      <c r="J36" s="9">
        <v>1</v>
      </c>
      <c r="K36" s="9">
        <v>179</v>
      </c>
      <c r="L36" s="9">
        <v>2019</v>
      </c>
      <c r="M36" s="8" t="s">
        <v>273</v>
      </c>
      <c r="N36" s="8" t="s">
        <v>41</v>
      </c>
      <c r="O36" s="8" t="s">
        <v>97</v>
      </c>
      <c r="P36" s="6" t="s">
        <v>54</v>
      </c>
      <c r="Q36" s="8" t="s">
        <v>86</v>
      </c>
      <c r="R36" s="10" t="s">
        <v>274</v>
      </c>
      <c r="S36" s="11" t="s">
        <v>275</v>
      </c>
      <c r="T36" s="6"/>
      <c r="U36" s="28" t="str">
        <f>HYPERLINK("https://media.infra-m.ru/1014/1014754/cover/1014754.jpg", "Обложка")</f>
        <v>Обложка</v>
      </c>
      <c r="V36" s="28" t="str">
        <f>HYPERLINK("https://znanium.com/catalog/product/926709", "Ознакомиться")</f>
        <v>Ознакомиться</v>
      </c>
      <c r="W36" s="8" t="s">
        <v>276</v>
      </c>
      <c r="X36" s="6"/>
      <c r="Y36" s="6"/>
      <c r="Z36" s="6"/>
      <c r="AA36" s="6" t="s">
        <v>78</v>
      </c>
    </row>
    <row r="37" spans="1:27" s="4" customFormat="1" ht="51.95" customHeight="1">
      <c r="A37" s="5">
        <v>0</v>
      </c>
      <c r="B37" s="6" t="s">
        <v>277</v>
      </c>
      <c r="C37" s="13">
        <v>1000</v>
      </c>
      <c r="D37" s="8" t="s">
        <v>278</v>
      </c>
      <c r="E37" s="8" t="s">
        <v>279</v>
      </c>
      <c r="F37" s="8" t="s">
        <v>280</v>
      </c>
      <c r="G37" s="6" t="s">
        <v>95</v>
      </c>
      <c r="H37" s="6" t="s">
        <v>38</v>
      </c>
      <c r="I37" s="8" t="s">
        <v>83</v>
      </c>
      <c r="J37" s="9">
        <v>10</v>
      </c>
      <c r="K37" s="9">
        <v>384</v>
      </c>
      <c r="L37" s="9">
        <v>2017</v>
      </c>
      <c r="M37" s="8" t="s">
        <v>281</v>
      </c>
      <c r="N37" s="8" t="s">
        <v>41</v>
      </c>
      <c r="O37" s="8" t="s">
        <v>97</v>
      </c>
      <c r="P37" s="6" t="s">
        <v>54</v>
      </c>
      <c r="Q37" s="8" t="s">
        <v>86</v>
      </c>
      <c r="R37" s="10" t="s">
        <v>282</v>
      </c>
      <c r="S37" s="11" t="s">
        <v>283</v>
      </c>
      <c r="T37" s="6"/>
      <c r="U37" s="28" t="str">
        <f>HYPERLINK("https://media.infra-m.ru/0560/0560971/cover/560971.jpg", "Обложка")</f>
        <v>Обложка</v>
      </c>
      <c r="V37" s="28" t="str">
        <f>HYPERLINK("https://znanium.com/catalog/product/556464", "Ознакомиться")</f>
        <v>Ознакомиться</v>
      </c>
      <c r="W37" s="8" t="s">
        <v>284</v>
      </c>
      <c r="X37" s="6"/>
      <c r="Y37" s="6"/>
      <c r="Z37" s="6"/>
      <c r="AA37" s="6" t="s">
        <v>285</v>
      </c>
    </row>
    <row r="38" spans="1:27" s="4" customFormat="1" ht="51.95" customHeight="1">
      <c r="A38" s="5">
        <v>0</v>
      </c>
      <c r="B38" s="6" t="s">
        <v>286</v>
      </c>
      <c r="C38" s="7">
        <v>670</v>
      </c>
      <c r="D38" s="8" t="s">
        <v>287</v>
      </c>
      <c r="E38" s="8" t="s">
        <v>247</v>
      </c>
      <c r="F38" s="8" t="s">
        <v>265</v>
      </c>
      <c r="G38" s="6" t="s">
        <v>63</v>
      </c>
      <c r="H38" s="6" t="s">
        <v>125</v>
      </c>
      <c r="I38" s="8" t="s">
        <v>192</v>
      </c>
      <c r="J38" s="9">
        <v>1</v>
      </c>
      <c r="K38" s="9">
        <v>196</v>
      </c>
      <c r="L38" s="9">
        <v>2020</v>
      </c>
      <c r="M38" s="8" t="s">
        <v>288</v>
      </c>
      <c r="N38" s="8" t="s">
        <v>41</v>
      </c>
      <c r="O38" s="8" t="s">
        <v>97</v>
      </c>
      <c r="P38" s="6" t="s">
        <v>54</v>
      </c>
      <c r="Q38" s="8" t="s">
        <v>194</v>
      </c>
      <c r="R38" s="10" t="s">
        <v>289</v>
      </c>
      <c r="S38" s="11" t="s">
        <v>290</v>
      </c>
      <c r="T38" s="6" t="s">
        <v>144</v>
      </c>
      <c r="U38" s="28" t="str">
        <f>HYPERLINK("https://media.infra-m.ru/1064/1064072/cover/1064072.jpg", "Обложка")</f>
        <v>Обложка</v>
      </c>
      <c r="V38" s="28" t="str">
        <f>HYPERLINK("https://znanium.com/catalog/product/2106665", "Ознакомиться")</f>
        <v>Ознакомиться</v>
      </c>
      <c r="W38" s="8" t="s">
        <v>269</v>
      </c>
      <c r="X38" s="6"/>
      <c r="Y38" s="6"/>
      <c r="Z38" s="6" t="s">
        <v>197</v>
      </c>
      <c r="AA38" s="6" t="s">
        <v>166</v>
      </c>
    </row>
    <row r="39" spans="1:27" s="4" customFormat="1" ht="51.95" customHeight="1">
      <c r="A39" s="5">
        <v>0</v>
      </c>
      <c r="B39" s="6" t="s">
        <v>291</v>
      </c>
      <c r="C39" s="7">
        <v>920</v>
      </c>
      <c r="D39" s="8" t="s">
        <v>292</v>
      </c>
      <c r="E39" s="8" t="s">
        <v>239</v>
      </c>
      <c r="F39" s="8" t="s">
        <v>265</v>
      </c>
      <c r="G39" s="6" t="s">
        <v>63</v>
      </c>
      <c r="H39" s="6" t="s">
        <v>64</v>
      </c>
      <c r="I39" s="8" t="s">
        <v>192</v>
      </c>
      <c r="J39" s="9">
        <v>1</v>
      </c>
      <c r="K39" s="9">
        <v>200</v>
      </c>
      <c r="L39" s="9">
        <v>2024</v>
      </c>
      <c r="M39" s="8" t="s">
        <v>293</v>
      </c>
      <c r="N39" s="8" t="s">
        <v>41</v>
      </c>
      <c r="O39" s="8" t="s">
        <v>97</v>
      </c>
      <c r="P39" s="6" t="s">
        <v>54</v>
      </c>
      <c r="Q39" s="8" t="s">
        <v>194</v>
      </c>
      <c r="R39" s="10" t="s">
        <v>289</v>
      </c>
      <c r="S39" s="11" t="s">
        <v>294</v>
      </c>
      <c r="T39" s="6" t="s">
        <v>144</v>
      </c>
      <c r="U39" s="28" t="str">
        <f>HYPERLINK("https://media.infra-m.ru/2106/2106665/cover/2106665.jpg", "Обложка")</f>
        <v>Обложка</v>
      </c>
      <c r="V39" s="28" t="str">
        <f>HYPERLINK("https://znanium.com/catalog/product/2106665", "Ознакомиться")</f>
        <v>Ознакомиться</v>
      </c>
      <c r="W39" s="8" t="s">
        <v>269</v>
      </c>
      <c r="X39" s="6"/>
      <c r="Y39" s="6"/>
      <c r="Z39" s="6" t="s">
        <v>197</v>
      </c>
      <c r="AA39" s="6" t="s">
        <v>101</v>
      </c>
    </row>
    <row r="40" spans="1:27" s="4" customFormat="1" ht="51.95" customHeight="1">
      <c r="A40" s="5">
        <v>0</v>
      </c>
      <c r="B40" s="6" t="s">
        <v>295</v>
      </c>
      <c r="C40" s="13">
        <v>1024</v>
      </c>
      <c r="D40" s="8" t="s">
        <v>296</v>
      </c>
      <c r="E40" s="8" t="s">
        <v>239</v>
      </c>
      <c r="F40" s="8" t="s">
        <v>265</v>
      </c>
      <c r="G40" s="6" t="s">
        <v>95</v>
      </c>
      <c r="H40" s="6" t="s">
        <v>64</v>
      </c>
      <c r="I40" s="8" t="s">
        <v>83</v>
      </c>
      <c r="J40" s="9">
        <v>1</v>
      </c>
      <c r="K40" s="9">
        <v>200</v>
      </c>
      <c r="L40" s="9">
        <v>2024</v>
      </c>
      <c r="M40" s="8" t="s">
        <v>297</v>
      </c>
      <c r="N40" s="8" t="s">
        <v>41</v>
      </c>
      <c r="O40" s="8" t="s">
        <v>97</v>
      </c>
      <c r="P40" s="6" t="s">
        <v>54</v>
      </c>
      <c r="Q40" s="8" t="s">
        <v>86</v>
      </c>
      <c r="R40" s="10" t="s">
        <v>267</v>
      </c>
      <c r="S40" s="11" t="s">
        <v>298</v>
      </c>
      <c r="T40" s="6"/>
      <c r="U40" s="28" t="str">
        <f>HYPERLINK("https://media.infra-m.ru/2091/2091891/cover/2091891.jpg", "Обложка")</f>
        <v>Обложка</v>
      </c>
      <c r="V40" s="28" t="str">
        <f>HYPERLINK("https://znanium.com/catalog/product/1863115", "Ознакомиться")</f>
        <v>Ознакомиться</v>
      </c>
      <c r="W40" s="8" t="s">
        <v>269</v>
      </c>
      <c r="X40" s="6"/>
      <c r="Y40" s="6"/>
      <c r="Z40" s="6"/>
      <c r="AA40" s="6" t="s">
        <v>299</v>
      </c>
    </row>
    <row r="41" spans="1:27" s="4" customFormat="1" ht="33" customHeight="1">
      <c r="A41" s="5">
        <v>0</v>
      </c>
      <c r="B41" s="6" t="s">
        <v>300</v>
      </c>
      <c r="C41" s="7">
        <v>134.9</v>
      </c>
      <c r="D41" s="8" t="s">
        <v>301</v>
      </c>
      <c r="E41" s="8" t="s">
        <v>239</v>
      </c>
      <c r="F41" s="8" t="s">
        <v>302</v>
      </c>
      <c r="G41" s="6" t="s">
        <v>37</v>
      </c>
      <c r="H41" s="6" t="s">
        <v>38</v>
      </c>
      <c r="I41" s="8" t="s">
        <v>303</v>
      </c>
      <c r="J41" s="9">
        <v>1</v>
      </c>
      <c r="K41" s="9">
        <v>110</v>
      </c>
      <c r="L41" s="9">
        <v>2017</v>
      </c>
      <c r="M41" s="8" t="s">
        <v>304</v>
      </c>
      <c r="N41" s="8" t="s">
        <v>41</v>
      </c>
      <c r="O41" s="8" t="s">
        <v>97</v>
      </c>
      <c r="P41" s="6" t="s">
        <v>305</v>
      </c>
      <c r="Q41" s="8" t="s">
        <v>86</v>
      </c>
      <c r="R41" s="10" t="s">
        <v>306</v>
      </c>
      <c r="S41" s="11"/>
      <c r="T41" s="6"/>
      <c r="U41" s="12"/>
      <c r="V41" s="28" t="str">
        <f>HYPERLINK("https://znanium.com/catalog/product/614852", "Ознакомиться")</f>
        <v>Ознакомиться</v>
      </c>
      <c r="W41" s="8"/>
      <c r="X41" s="6"/>
      <c r="Y41" s="6"/>
      <c r="Z41" s="6"/>
      <c r="AA41" s="6" t="s">
        <v>307</v>
      </c>
    </row>
    <row r="42" spans="1:27" s="4" customFormat="1" ht="51.95" customHeight="1">
      <c r="A42" s="5">
        <v>0</v>
      </c>
      <c r="B42" s="6" t="s">
        <v>308</v>
      </c>
      <c r="C42" s="13">
        <v>1270</v>
      </c>
      <c r="D42" s="8" t="s">
        <v>309</v>
      </c>
      <c r="E42" s="8" t="s">
        <v>239</v>
      </c>
      <c r="F42" s="8" t="s">
        <v>240</v>
      </c>
      <c r="G42" s="6" t="s">
        <v>63</v>
      </c>
      <c r="H42" s="6" t="s">
        <v>64</v>
      </c>
      <c r="I42" s="8" t="s">
        <v>192</v>
      </c>
      <c r="J42" s="9">
        <v>1</v>
      </c>
      <c r="K42" s="9">
        <v>281</v>
      </c>
      <c r="L42" s="9">
        <v>2023</v>
      </c>
      <c r="M42" s="8" t="s">
        <v>310</v>
      </c>
      <c r="N42" s="8" t="s">
        <v>41</v>
      </c>
      <c r="O42" s="8" t="s">
        <v>97</v>
      </c>
      <c r="P42" s="6" t="s">
        <v>67</v>
      </c>
      <c r="Q42" s="8" t="s">
        <v>194</v>
      </c>
      <c r="R42" s="10" t="s">
        <v>255</v>
      </c>
      <c r="S42" s="11" t="s">
        <v>256</v>
      </c>
      <c r="T42" s="6" t="s">
        <v>144</v>
      </c>
      <c r="U42" s="28" t="str">
        <f>HYPERLINK("https://media.infra-m.ru/1065/1065576/cover/1065576.jpg", "Обложка")</f>
        <v>Обложка</v>
      </c>
      <c r="V42" s="28" t="str">
        <f>HYPERLINK("https://znanium.com/catalog/product/1065576", "Ознакомиться")</f>
        <v>Ознакомиться</v>
      </c>
      <c r="W42" s="8" t="s">
        <v>236</v>
      </c>
      <c r="X42" s="6" t="s">
        <v>311</v>
      </c>
      <c r="Y42" s="6"/>
      <c r="Z42" s="6" t="s">
        <v>197</v>
      </c>
      <c r="AA42" s="6" t="s">
        <v>101</v>
      </c>
    </row>
    <row r="43" spans="1:27" s="4" customFormat="1" ht="42" customHeight="1">
      <c r="A43" s="5">
        <v>0</v>
      </c>
      <c r="B43" s="6" t="s">
        <v>312</v>
      </c>
      <c r="C43" s="13">
        <v>2090</v>
      </c>
      <c r="D43" s="8" t="s">
        <v>313</v>
      </c>
      <c r="E43" s="8" t="s">
        <v>314</v>
      </c>
      <c r="F43" s="8"/>
      <c r="G43" s="6" t="s">
        <v>37</v>
      </c>
      <c r="H43" s="6" t="s">
        <v>64</v>
      </c>
      <c r="I43" s="8"/>
      <c r="J43" s="9">
        <v>1</v>
      </c>
      <c r="K43" s="9">
        <v>60</v>
      </c>
      <c r="L43" s="9">
        <v>2023</v>
      </c>
      <c r="M43" s="8"/>
      <c r="N43" s="8" t="s">
        <v>41</v>
      </c>
      <c r="O43" s="8" t="s">
        <v>97</v>
      </c>
      <c r="P43" s="6" t="s">
        <v>315</v>
      </c>
      <c r="Q43" s="8"/>
      <c r="R43" s="10"/>
      <c r="S43" s="11"/>
      <c r="T43" s="6"/>
      <c r="U43" s="28" t="str">
        <f>HYPERLINK("https://media.infra-m.ru/1903/1903098/cover/1903098.jpg", "Обложка")</f>
        <v>Обложка</v>
      </c>
      <c r="V43" s="28" t="str">
        <f>HYPERLINK("https://znanium.com/catalog/product/1903098", "Ознакомиться")</f>
        <v>Ознакомиться</v>
      </c>
      <c r="W43" s="8"/>
      <c r="X43" s="6" t="s">
        <v>316</v>
      </c>
      <c r="Y43" s="6"/>
      <c r="Z43" s="6"/>
      <c r="AA43" s="6" t="s">
        <v>317</v>
      </c>
    </row>
    <row r="44" spans="1:27" s="4" customFormat="1" ht="44.1" customHeight="1">
      <c r="A44" s="5">
        <v>0</v>
      </c>
      <c r="B44" s="6" t="s">
        <v>318</v>
      </c>
      <c r="C44" s="7">
        <v>724.9</v>
      </c>
      <c r="D44" s="8" t="s">
        <v>319</v>
      </c>
      <c r="E44" s="8" t="s">
        <v>320</v>
      </c>
      <c r="F44" s="8" t="s">
        <v>321</v>
      </c>
      <c r="G44" s="6" t="s">
        <v>37</v>
      </c>
      <c r="H44" s="6" t="s">
        <v>64</v>
      </c>
      <c r="I44" s="8" t="s">
        <v>39</v>
      </c>
      <c r="J44" s="9">
        <v>1</v>
      </c>
      <c r="K44" s="9">
        <v>161</v>
      </c>
      <c r="L44" s="9">
        <v>2023</v>
      </c>
      <c r="M44" s="8" t="s">
        <v>322</v>
      </c>
      <c r="N44" s="8" t="s">
        <v>41</v>
      </c>
      <c r="O44" s="8" t="s">
        <v>97</v>
      </c>
      <c r="P44" s="6" t="s">
        <v>43</v>
      </c>
      <c r="Q44" s="8" t="s">
        <v>44</v>
      </c>
      <c r="R44" s="10" t="s">
        <v>323</v>
      </c>
      <c r="S44" s="11"/>
      <c r="T44" s="6"/>
      <c r="U44" s="28" t="str">
        <f>HYPERLINK("https://media.infra-m.ru/1981/1981587/cover/1981587.jpg", "Обложка")</f>
        <v>Обложка</v>
      </c>
      <c r="V44" s="28" t="str">
        <f>HYPERLINK("https://znanium.com/catalog/product/994352", "Ознакомиться")</f>
        <v>Ознакомиться</v>
      </c>
      <c r="W44" s="8" t="s">
        <v>324</v>
      </c>
      <c r="X44" s="6"/>
      <c r="Y44" s="6"/>
      <c r="Z44" s="6"/>
      <c r="AA44" s="6" t="s">
        <v>78</v>
      </c>
    </row>
    <row r="45" spans="1:27" s="4" customFormat="1" ht="51.95" customHeight="1">
      <c r="A45" s="5">
        <v>0</v>
      </c>
      <c r="B45" s="6" t="s">
        <v>325</v>
      </c>
      <c r="C45" s="13">
        <v>1514.9</v>
      </c>
      <c r="D45" s="8" t="s">
        <v>326</v>
      </c>
      <c r="E45" s="8" t="s">
        <v>327</v>
      </c>
      <c r="F45" s="8" t="s">
        <v>328</v>
      </c>
      <c r="G45" s="6" t="s">
        <v>95</v>
      </c>
      <c r="H45" s="6" t="s">
        <v>329</v>
      </c>
      <c r="I45" s="8" t="s">
        <v>330</v>
      </c>
      <c r="J45" s="9">
        <v>1</v>
      </c>
      <c r="K45" s="9">
        <v>336</v>
      </c>
      <c r="L45" s="9">
        <v>2023</v>
      </c>
      <c r="M45" s="8" t="s">
        <v>331</v>
      </c>
      <c r="N45" s="8" t="s">
        <v>41</v>
      </c>
      <c r="O45" s="8" t="s">
        <v>97</v>
      </c>
      <c r="P45" s="6" t="s">
        <v>67</v>
      </c>
      <c r="Q45" s="8" t="s">
        <v>86</v>
      </c>
      <c r="R45" s="10" t="s">
        <v>332</v>
      </c>
      <c r="S45" s="11" t="s">
        <v>333</v>
      </c>
      <c r="T45" s="6"/>
      <c r="U45" s="28" t="str">
        <f>HYPERLINK("https://media.infra-m.ru/1918/1918609/cover/1918609.jpg", "Обложка")</f>
        <v>Обложка</v>
      </c>
      <c r="V45" s="28" t="str">
        <f>HYPERLINK("https://znanium.com/catalog/product/1914538", "Ознакомиться")</f>
        <v>Ознакомиться</v>
      </c>
      <c r="W45" s="8"/>
      <c r="X45" s="6"/>
      <c r="Y45" s="6"/>
      <c r="Z45" s="6"/>
      <c r="AA45" s="6" t="s">
        <v>334</v>
      </c>
    </row>
    <row r="46" spans="1:27" s="4" customFormat="1" ht="51.95" customHeight="1">
      <c r="A46" s="5">
        <v>0</v>
      </c>
      <c r="B46" s="6" t="s">
        <v>335</v>
      </c>
      <c r="C46" s="13">
        <v>1520</v>
      </c>
      <c r="D46" s="8" t="s">
        <v>336</v>
      </c>
      <c r="E46" s="8" t="s">
        <v>337</v>
      </c>
      <c r="F46" s="8" t="s">
        <v>338</v>
      </c>
      <c r="G46" s="6" t="s">
        <v>95</v>
      </c>
      <c r="H46" s="6" t="s">
        <v>64</v>
      </c>
      <c r="I46" s="8" t="s">
        <v>339</v>
      </c>
      <c r="J46" s="9">
        <v>1</v>
      </c>
      <c r="K46" s="9">
        <v>303</v>
      </c>
      <c r="L46" s="9">
        <v>2023</v>
      </c>
      <c r="M46" s="8" t="s">
        <v>340</v>
      </c>
      <c r="N46" s="8" t="s">
        <v>41</v>
      </c>
      <c r="O46" s="8" t="s">
        <v>97</v>
      </c>
      <c r="P46" s="6" t="s">
        <v>67</v>
      </c>
      <c r="Q46" s="8" t="s">
        <v>194</v>
      </c>
      <c r="R46" s="10" t="s">
        <v>332</v>
      </c>
      <c r="S46" s="11" t="s">
        <v>341</v>
      </c>
      <c r="T46" s="6"/>
      <c r="U46" s="28" t="str">
        <f>HYPERLINK("https://media.infra-m.ru/1914/1914538/cover/1914538.jpg", "Обложка")</f>
        <v>Обложка</v>
      </c>
      <c r="V46" s="28" t="str">
        <f>HYPERLINK("https://znanium.com/catalog/product/1914538", "Ознакомиться")</f>
        <v>Ознакомиться</v>
      </c>
      <c r="W46" s="8" t="s">
        <v>110</v>
      </c>
      <c r="X46" s="6" t="s">
        <v>316</v>
      </c>
      <c r="Y46" s="6"/>
      <c r="Z46" s="6"/>
      <c r="AA46" s="6" t="s">
        <v>342</v>
      </c>
    </row>
    <row r="47" spans="1:27" s="4" customFormat="1" ht="51.95" customHeight="1">
      <c r="A47" s="5">
        <v>0</v>
      </c>
      <c r="B47" s="6" t="s">
        <v>343</v>
      </c>
      <c r="C47" s="13">
        <v>2024</v>
      </c>
      <c r="D47" s="8" t="s">
        <v>344</v>
      </c>
      <c r="E47" s="8" t="s">
        <v>345</v>
      </c>
      <c r="F47" s="8" t="s">
        <v>346</v>
      </c>
      <c r="G47" s="6" t="s">
        <v>95</v>
      </c>
      <c r="H47" s="6" t="s">
        <v>347</v>
      </c>
      <c r="I47" s="8" t="s">
        <v>348</v>
      </c>
      <c r="J47" s="9">
        <v>1</v>
      </c>
      <c r="K47" s="9">
        <v>448</v>
      </c>
      <c r="L47" s="9">
        <v>2023</v>
      </c>
      <c r="M47" s="8" t="s">
        <v>349</v>
      </c>
      <c r="N47" s="8" t="s">
        <v>41</v>
      </c>
      <c r="O47" s="8" t="s">
        <v>97</v>
      </c>
      <c r="P47" s="6" t="s">
        <v>54</v>
      </c>
      <c r="Q47" s="8" t="s">
        <v>194</v>
      </c>
      <c r="R47" s="10" t="s">
        <v>350</v>
      </c>
      <c r="S47" s="11" t="s">
        <v>351</v>
      </c>
      <c r="T47" s="6"/>
      <c r="U47" s="28" t="str">
        <f>HYPERLINK("https://media.infra-m.ru/1912/1912956/cover/1912956.jpg", "Обложка")</f>
        <v>Обложка</v>
      </c>
      <c r="V47" s="28" t="str">
        <f>HYPERLINK("https://znanium.com/catalog/product/1209221", "Ознакомиться")</f>
        <v>Ознакомиться</v>
      </c>
      <c r="W47" s="8" t="s">
        <v>352</v>
      </c>
      <c r="X47" s="6"/>
      <c r="Y47" s="6"/>
      <c r="Z47" s="6"/>
      <c r="AA47" s="6" t="s">
        <v>353</v>
      </c>
    </row>
    <row r="48" spans="1:27" s="4" customFormat="1" ht="51.95" customHeight="1">
      <c r="A48" s="5">
        <v>0</v>
      </c>
      <c r="B48" s="6" t="s">
        <v>354</v>
      </c>
      <c r="C48" s="13">
        <v>1034.9000000000001</v>
      </c>
      <c r="D48" s="8" t="s">
        <v>355</v>
      </c>
      <c r="E48" s="8" t="s">
        <v>345</v>
      </c>
      <c r="F48" s="8" t="s">
        <v>356</v>
      </c>
      <c r="G48" s="6" t="s">
        <v>95</v>
      </c>
      <c r="H48" s="6" t="s">
        <v>357</v>
      </c>
      <c r="I48" s="8" t="s">
        <v>330</v>
      </c>
      <c r="J48" s="9">
        <v>1</v>
      </c>
      <c r="K48" s="9">
        <v>272</v>
      </c>
      <c r="L48" s="9">
        <v>2021</v>
      </c>
      <c r="M48" s="8" t="s">
        <v>358</v>
      </c>
      <c r="N48" s="8" t="s">
        <v>41</v>
      </c>
      <c r="O48" s="8" t="s">
        <v>97</v>
      </c>
      <c r="P48" s="6" t="s">
        <v>54</v>
      </c>
      <c r="Q48" s="8" t="s">
        <v>194</v>
      </c>
      <c r="R48" s="10" t="s">
        <v>332</v>
      </c>
      <c r="S48" s="11" t="s">
        <v>359</v>
      </c>
      <c r="T48" s="6"/>
      <c r="U48" s="28" t="str">
        <f>HYPERLINK("https://media.infra-m.ru/1863/1863297/cover/1863297.jpg", "Обложка")</f>
        <v>Обложка</v>
      </c>
      <c r="V48" s="28" t="str">
        <f>HYPERLINK("https://znanium.com/catalog/product/1567548", "Ознакомиться")</f>
        <v>Ознакомиться</v>
      </c>
      <c r="W48" s="8" t="s">
        <v>110</v>
      </c>
      <c r="X48" s="6"/>
      <c r="Y48" s="6"/>
      <c r="Z48" s="6"/>
      <c r="AA48" s="6" t="s">
        <v>360</v>
      </c>
    </row>
    <row r="49" spans="1:27" s="4" customFormat="1" ht="51.95" customHeight="1">
      <c r="A49" s="5">
        <v>0</v>
      </c>
      <c r="B49" s="6" t="s">
        <v>361</v>
      </c>
      <c r="C49" s="7">
        <v>394</v>
      </c>
      <c r="D49" s="8" t="s">
        <v>362</v>
      </c>
      <c r="E49" s="8" t="s">
        <v>345</v>
      </c>
      <c r="F49" s="8" t="s">
        <v>363</v>
      </c>
      <c r="G49" s="6" t="s">
        <v>37</v>
      </c>
      <c r="H49" s="6" t="s">
        <v>329</v>
      </c>
      <c r="I49" s="8" t="s">
        <v>364</v>
      </c>
      <c r="J49" s="9">
        <v>1</v>
      </c>
      <c r="K49" s="9">
        <v>128</v>
      </c>
      <c r="L49" s="9">
        <v>2023</v>
      </c>
      <c r="M49" s="8" t="s">
        <v>365</v>
      </c>
      <c r="N49" s="8" t="s">
        <v>41</v>
      </c>
      <c r="O49" s="8" t="s">
        <v>97</v>
      </c>
      <c r="P49" s="6" t="s">
        <v>54</v>
      </c>
      <c r="Q49" s="8" t="s">
        <v>194</v>
      </c>
      <c r="R49" s="10" t="s">
        <v>332</v>
      </c>
      <c r="S49" s="11" t="s">
        <v>366</v>
      </c>
      <c r="T49" s="6"/>
      <c r="U49" s="28" t="str">
        <f>HYPERLINK("https://media.infra-m.ru/1988/1988442/cover/1988442.jpg", "Обложка")</f>
        <v>Обложка</v>
      </c>
      <c r="V49" s="28" t="str">
        <f>HYPERLINK("https://znanium.com/catalog/product/1002800", "Ознакомиться")</f>
        <v>Ознакомиться</v>
      </c>
      <c r="W49" s="8" t="s">
        <v>110</v>
      </c>
      <c r="X49" s="6"/>
      <c r="Y49" s="6"/>
      <c r="Z49" s="6"/>
      <c r="AA49" s="6" t="s">
        <v>367</v>
      </c>
    </row>
    <row r="50" spans="1:27" s="4" customFormat="1" ht="42" customHeight="1">
      <c r="A50" s="5">
        <v>0</v>
      </c>
      <c r="B50" s="6" t="s">
        <v>368</v>
      </c>
      <c r="C50" s="7">
        <v>670</v>
      </c>
      <c r="D50" s="8" t="s">
        <v>369</v>
      </c>
      <c r="E50" s="8" t="s">
        <v>370</v>
      </c>
      <c r="F50" s="8" t="s">
        <v>371</v>
      </c>
      <c r="G50" s="6" t="s">
        <v>37</v>
      </c>
      <c r="H50" s="6" t="s">
        <v>38</v>
      </c>
      <c r="I50" s="8" t="s">
        <v>185</v>
      </c>
      <c r="J50" s="9">
        <v>1</v>
      </c>
      <c r="K50" s="9">
        <v>141</v>
      </c>
      <c r="L50" s="9">
        <v>2023</v>
      </c>
      <c r="M50" s="8" t="s">
        <v>372</v>
      </c>
      <c r="N50" s="8" t="s">
        <v>41</v>
      </c>
      <c r="O50" s="8" t="s">
        <v>97</v>
      </c>
      <c r="P50" s="6" t="s">
        <v>54</v>
      </c>
      <c r="Q50" s="8" t="s">
        <v>134</v>
      </c>
      <c r="R50" s="10" t="s">
        <v>373</v>
      </c>
      <c r="S50" s="11"/>
      <c r="T50" s="6"/>
      <c r="U50" s="28" t="str">
        <f>HYPERLINK("https://media.infra-m.ru/2029/2029868/cover/2029868.jpg", "Обложка")</f>
        <v>Обложка</v>
      </c>
      <c r="V50" s="12"/>
      <c r="W50" s="8" t="s">
        <v>374</v>
      </c>
      <c r="X50" s="6" t="s">
        <v>375</v>
      </c>
      <c r="Y50" s="6"/>
      <c r="Z50" s="6"/>
      <c r="AA50" s="6" t="s">
        <v>112</v>
      </c>
    </row>
    <row r="51" spans="1:27" s="4" customFormat="1" ht="42" customHeight="1">
      <c r="A51" s="5">
        <v>0</v>
      </c>
      <c r="B51" s="6" t="s">
        <v>376</v>
      </c>
      <c r="C51" s="13">
        <v>1404</v>
      </c>
      <c r="D51" s="8" t="s">
        <v>377</v>
      </c>
      <c r="E51" s="8" t="s">
        <v>378</v>
      </c>
      <c r="F51" s="8" t="s">
        <v>379</v>
      </c>
      <c r="G51" s="6" t="s">
        <v>95</v>
      </c>
      <c r="H51" s="6" t="s">
        <v>64</v>
      </c>
      <c r="I51" s="8"/>
      <c r="J51" s="9">
        <v>1</v>
      </c>
      <c r="K51" s="9">
        <v>285</v>
      </c>
      <c r="L51" s="9">
        <v>2024</v>
      </c>
      <c r="M51" s="8" t="s">
        <v>380</v>
      </c>
      <c r="N51" s="8" t="s">
        <v>41</v>
      </c>
      <c r="O51" s="8" t="s">
        <v>97</v>
      </c>
      <c r="P51" s="6" t="s">
        <v>43</v>
      </c>
      <c r="Q51" s="8" t="s">
        <v>44</v>
      </c>
      <c r="R51" s="10" t="s">
        <v>227</v>
      </c>
      <c r="S51" s="11"/>
      <c r="T51" s="6"/>
      <c r="U51" s="28" t="str">
        <f>HYPERLINK("https://media.infra-m.ru/2079/2079850/cover/2079850.jpg", "Обложка")</f>
        <v>Обложка</v>
      </c>
      <c r="V51" s="28" t="str">
        <f>HYPERLINK("https://znanium.com/catalog/product/1088282", "Ознакомиться")</f>
        <v>Ознакомиться</v>
      </c>
      <c r="W51" s="8" t="s">
        <v>324</v>
      </c>
      <c r="X51" s="6"/>
      <c r="Y51" s="6"/>
      <c r="Z51" s="6"/>
      <c r="AA51" s="6" t="s">
        <v>381</v>
      </c>
    </row>
    <row r="52" spans="1:27" s="4" customFormat="1" ht="42" customHeight="1">
      <c r="A52" s="5">
        <v>0</v>
      </c>
      <c r="B52" s="6" t="s">
        <v>382</v>
      </c>
      <c r="C52" s="13">
        <v>1540</v>
      </c>
      <c r="D52" s="8" t="s">
        <v>383</v>
      </c>
      <c r="E52" s="8" t="s">
        <v>384</v>
      </c>
      <c r="F52" s="8" t="s">
        <v>321</v>
      </c>
      <c r="G52" s="6" t="s">
        <v>63</v>
      </c>
      <c r="H52" s="6" t="s">
        <v>64</v>
      </c>
      <c r="I52" s="8"/>
      <c r="J52" s="9">
        <v>1</v>
      </c>
      <c r="K52" s="9">
        <v>336</v>
      </c>
      <c r="L52" s="9">
        <v>2023</v>
      </c>
      <c r="M52" s="8" t="s">
        <v>385</v>
      </c>
      <c r="N52" s="8" t="s">
        <v>41</v>
      </c>
      <c r="O52" s="8" t="s">
        <v>97</v>
      </c>
      <c r="P52" s="6" t="s">
        <v>43</v>
      </c>
      <c r="Q52" s="8" t="s">
        <v>44</v>
      </c>
      <c r="R52" s="10" t="s">
        <v>227</v>
      </c>
      <c r="S52" s="11"/>
      <c r="T52" s="6"/>
      <c r="U52" s="28" t="str">
        <f>HYPERLINK("https://media.infra-m.ru/1996/1996441/cover/1996441.jpg", "Обложка")</f>
        <v>Обложка</v>
      </c>
      <c r="V52" s="28" t="str">
        <f>HYPERLINK("https://znanium.com/catalog/product/1996441", "Ознакомиться")</f>
        <v>Ознакомиться</v>
      </c>
      <c r="W52" s="8" t="s">
        <v>324</v>
      </c>
      <c r="X52" s="6"/>
      <c r="Y52" s="6"/>
      <c r="Z52" s="6"/>
      <c r="AA52" s="6" t="s">
        <v>381</v>
      </c>
    </row>
    <row r="53" spans="1:27" s="4" customFormat="1" ht="51.95" customHeight="1">
      <c r="A53" s="5">
        <v>0</v>
      </c>
      <c r="B53" s="6" t="s">
        <v>386</v>
      </c>
      <c r="C53" s="13">
        <v>2160</v>
      </c>
      <c r="D53" s="8" t="s">
        <v>387</v>
      </c>
      <c r="E53" s="8" t="s">
        <v>388</v>
      </c>
      <c r="F53" s="8" t="s">
        <v>389</v>
      </c>
      <c r="G53" s="6" t="s">
        <v>95</v>
      </c>
      <c r="H53" s="6" t="s">
        <v>347</v>
      </c>
      <c r="I53" s="8" t="s">
        <v>390</v>
      </c>
      <c r="J53" s="9">
        <v>1</v>
      </c>
      <c r="K53" s="9">
        <v>480</v>
      </c>
      <c r="L53" s="9">
        <v>2023</v>
      </c>
      <c r="M53" s="8" t="s">
        <v>391</v>
      </c>
      <c r="N53" s="8" t="s">
        <v>41</v>
      </c>
      <c r="O53" s="8" t="s">
        <v>85</v>
      </c>
      <c r="P53" s="6" t="s">
        <v>67</v>
      </c>
      <c r="Q53" s="8" t="s">
        <v>86</v>
      </c>
      <c r="R53" s="10" t="s">
        <v>392</v>
      </c>
      <c r="S53" s="11" t="s">
        <v>393</v>
      </c>
      <c r="T53" s="6"/>
      <c r="U53" s="28" t="str">
        <f>HYPERLINK("https://media.infra-m.ru/1949/1949127/cover/1949127.jpg", "Обложка")</f>
        <v>Обложка</v>
      </c>
      <c r="V53" s="28" t="str">
        <f>HYPERLINK("https://znanium.com/catalog/product/1233663", "Ознакомиться")</f>
        <v>Ознакомиться</v>
      </c>
      <c r="W53" s="8" t="s">
        <v>120</v>
      </c>
      <c r="X53" s="6"/>
      <c r="Y53" s="6"/>
      <c r="Z53" s="6"/>
      <c r="AA53" s="6" t="s">
        <v>317</v>
      </c>
    </row>
    <row r="54" spans="1:27" s="4" customFormat="1" ht="51.95" customHeight="1">
      <c r="A54" s="5">
        <v>0</v>
      </c>
      <c r="B54" s="6" t="s">
        <v>394</v>
      </c>
      <c r="C54" s="13">
        <v>1750</v>
      </c>
      <c r="D54" s="8" t="s">
        <v>395</v>
      </c>
      <c r="E54" s="8" t="s">
        <v>388</v>
      </c>
      <c r="F54" s="8" t="s">
        <v>396</v>
      </c>
      <c r="G54" s="6" t="s">
        <v>63</v>
      </c>
      <c r="H54" s="6" t="s">
        <v>64</v>
      </c>
      <c r="I54" s="8" t="s">
        <v>185</v>
      </c>
      <c r="J54" s="9">
        <v>1</v>
      </c>
      <c r="K54" s="9">
        <v>379</v>
      </c>
      <c r="L54" s="9">
        <v>2024</v>
      </c>
      <c r="M54" s="8" t="s">
        <v>397</v>
      </c>
      <c r="N54" s="8" t="s">
        <v>41</v>
      </c>
      <c r="O54" s="8" t="s">
        <v>97</v>
      </c>
      <c r="P54" s="6" t="s">
        <v>67</v>
      </c>
      <c r="Q54" s="8" t="s">
        <v>86</v>
      </c>
      <c r="R54" s="10" t="s">
        <v>398</v>
      </c>
      <c r="S54" s="11" t="s">
        <v>399</v>
      </c>
      <c r="T54" s="6"/>
      <c r="U54" s="28" t="str">
        <f>HYPERLINK("https://media.infra-m.ru/2096/2096118/cover/2096118.jpg", "Обложка")</f>
        <v>Обложка</v>
      </c>
      <c r="V54" s="28" t="str">
        <f>HYPERLINK("https://znanium.com/catalog/product/2096118", "Ознакомиться")</f>
        <v>Ознакомиться</v>
      </c>
      <c r="W54" s="8" t="s">
        <v>400</v>
      </c>
      <c r="X54" s="6"/>
      <c r="Y54" s="6"/>
      <c r="Z54" s="6"/>
      <c r="AA54" s="6" t="s">
        <v>401</v>
      </c>
    </row>
    <row r="55" spans="1:27" s="4" customFormat="1" ht="51.95" customHeight="1">
      <c r="A55" s="5">
        <v>0</v>
      </c>
      <c r="B55" s="6" t="s">
        <v>402</v>
      </c>
      <c r="C55" s="7">
        <v>619.9</v>
      </c>
      <c r="D55" s="8" t="s">
        <v>403</v>
      </c>
      <c r="E55" s="8" t="s">
        <v>404</v>
      </c>
      <c r="F55" s="8" t="s">
        <v>405</v>
      </c>
      <c r="G55" s="6" t="s">
        <v>95</v>
      </c>
      <c r="H55" s="6" t="s">
        <v>52</v>
      </c>
      <c r="I55" s="8"/>
      <c r="J55" s="9">
        <v>1</v>
      </c>
      <c r="K55" s="9">
        <v>176</v>
      </c>
      <c r="L55" s="9">
        <v>2018</v>
      </c>
      <c r="M55" s="8" t="s">
        <v>406</v>
      </c>
      <c r="N55" s="8" t="s">
        <v>41</v>
      </c>
      <c r="O55" s="8" t="s">
        <v>42</v>
      </c>
      <c r="P55" s="6" t="s">
        <v>54</v>
      </c>
      <c r="Q55" s="8" t="s">
        <v>55</v>
      </c>
      <c r="R55" s="10" t="s">
        <v>407</v>
      </c>
      <c r="S55" s="11"/>
      <c r="T55" s="6"/>
      <c r="U55" s="28" t="str">
        <f>HYPERLINK("https://media.infra-m.ru/0968/0968405/cover/968405.jpg", "Обложка")</f>
        <v>Обложка</v>
      </c>
      <c r="V55" s="28" t="str">
        <f>HYPERLINK("https://znanium.com/catalog/product/1693531", "Ознакомиться")</f>
        <v>Ознакомиться</v>
      </c>
      <c r="W55" s="8" t="s">
        <v>57</v>
      </c>
      <c r="X55" s="6"/>
      <c r="Y55" s="6"/>
      <c r="Z55" s="6"/>
      <c r="AA55" s="6" t="s">
        <v>71</v>
      </c>
    </row>
    <row r="56" spans="1:27" s="4" customFormat="1" ht="51.95" customHeight="1">
      <c r="A56" s="5">
        <v>0</v>
      </c>
      <c r="B56" s="6" t="s">
        <v>408</v>
      </c>
      <c r="C56" s="7">
        <v>884</v>
      </c>
      <c r="D56" s="8" t="s">
        <v>409</v>
      </c>
      <c r="E56" s="8" t="s">
        <v>410</v>
      </c>
      <c r="F56" s="8" t="s">
        <v>405</v>
      </c>
      <c r="G56" s="6" t="s">
        <v>63</v>
      </c>
      <c r="H56" s="6" t="s">
        <v>52</v>
      </c>
      <c r="I56" s="8"/>
      <c r="J56" s="9">
        <v>1</v>
      </c>
      <c r="K56" s="9">
        <v>192</v>
      </c>
      <c r="L56" s="9">
        <v>2024</v>
      </c>
      <c r="M56" s="8" t="s">
        <v>411</v>
      </c>
      <c r="N56" s="8" t="s">
        <v>41</v>
      </c>
      <c r="O56" s="8" t="s">
        <v>42</v>
      </c>
      <c r="P56" s="6" t="s">
        <v>54</v>
      </c>
      <c r="Q56" s="8" t="s">
        <v>55</v>
      </c>
      <c r="R56" s="10" t="s">
        <v>407</v>
      </c>
      <c r="S56" s="11"/>
      <c r="T56" s="6"/>
      <c r="U56" s="28" t="str">
        <f>HYPERLINK("https://media.infra-m.ru/2093/2093914/cover/2093914.jpg", "Обложка")</f>
        <v>Обложка</v>
      </c>
      <c r="V56" s="28" t="str">
        <f>HYPERLINK("https://znanium.com/catalog/product/1693531", "Ознакомиться")</f>
        <v>Ознакомиться</v>
      </c>
      <c r="W56" s="8" t="s">
        <v>57</v>
      </c>
      <c r="X56" s="6"/>
      <c r="Y56" s="6"/>
      <c r="Z56" s="6"/>
      <c r="AA56" s="6" t="s">
        <v>299</v>
      </c>
    </row>
    <row r="57" spans="1:27" s="4" customFormat="1" ht="51.95" customHeight="1">
      <c r="A57" s="5">
        <v>0</v>
      </c>
      <c r="B57" s="6" t="s">
        <v>412</v>
      </c>
      <c r="C57" s="13">
        <v>2254</v>
      </c>
      <c r="D57" s="8" t="s">
        <v>413</v>
      </c>
      <c r="E57" s="8" t="s">
        <v>414</v>
      </c>
      <c r="F57" s="8" t="s">
        <v>415</v>
      </c>
      <c r="G57" s="6" t="s">
        <v>63</v>
      </c>
      <c r="H57" s="6" t="s">
        <v>64</v>
      </c>
      <c r="I57" s="8" t="s">
        <v>83</v>
      </c>
      <c r="J57" s="9">
        <v>1</v>
      </c>
      <c r="K57" s="9">
        <v>502</v>
      </c>
      <c r="L57" s="9">
        <v>2023</v>
      </c>
      <c r="M57" s="8" t="s">
        <v>416</v>
      </c>
      <c r="N57" s="8" t="s">
        <v>41</v>
      </c>
      <c r="O57" s="8" t="s">
        <v>97</v>
      </c>
      <c r="P57" s="6" t="s">
        <v>67</v>
      </c>
      <c r="Q57" s="8" t="s">
        <v>86</v>
      </c>
      <c r="R57" s="10" t="s">
        <v>227</v>
      </c>
      <c r="S57" s="11" t="s">
        <v>417</v>
      </c>
      <c r="T57" s="6"/>
      <c r="U57" s="28" t="str">
        <f>HYPERLINK("https://media.infra-m.ru/2002/2002608/cover/2002608.jpg", "Обложка")</f>
        <v>Обложка</v>
      </c>
      <c r="V57" s="28" t="str">
        <f>HYPERLINK("https://znanium.com/catalog/product/1073953", "Ознакомиться")</f>
        <v>Ознакомиться</v>
      </c>
      <c r="W57" s="8" t="s">
        <v>100</v>
      </c>
      <c r="X57" s="6"/>
      <c r="Y57" s="6"/>
      <c r="Z57" s="6"/>
      <c r="AA57" s="6" t="s">
        <v>206</v>
      </c>
    </row>
    <row r="58" spans="1:27" s="4" customFormat="1" ht="51.95" customHeight="1">
      <c r="A58" s="5">
        <v>0</v>
      </c>
      <c r="B58" s="6" t="s">
        <v>418</v>
      </c>
      <c r="C58" s="13">
        <v>2134</v>
      </c>
      <c r="D58" s="8" t="s">
        <v>419</v>
      </c>
      <c r="E58" s="8" t="s">
        <v>420</v>
      </c>
      <c r="F58" s="8" t="s">
        <v>363</v>
      </c>
      <c r="G58" s="6" t="s">
        <v>95</v>
      </c>
      <c r="H58" s="6" t="s">
        <v>329</v>
      </c>
      <c r="I58" s="8" t="s">
        <v>185</v>
      </c>
      <c r="J58" s="9">
        <v>1</v>
      </c>
      <c r="K58" s="9">
        <v>464</v>
      </c>
      <c r="L58" s="9">
        <v>2024</v>
      </c>
      <c r="M58" s="8" t="s">
        <v>421</v>
      </c>
      <c r="N58" s="8" t="s">
        <v>41</v>
      </c>
      <c r="O58" s="8" t="s">
        <v>97</v>
      </c>
      <c r="P58" s="6" t="s">
        <v>67</v>
      </c>
      <c r="Q58" s="8" t="s">
        <v>86</v>
      </c>
      <c r="R58" s="10" t="s">
        <v>422</v>
      </c>
      <c r="S58" s="11" t="s">
        <v>423</v>
      </c>
      <c r="T58" s="6"/>
      <c r="U58" s="28" t="str">
        <f>HYPERLINK("https://media.infra-m.ru/2085/2085056/cover/2085056.jpg", "Обложка")</f>
        <v>Обложка</v>
      </c>
      <c r="V58" s="28" t="str">
        <f>HYPERLINK("https://znanium.com/catalog/product/1850682", "Ознакомиться")</f>
        <v>Ознакомиться</v>
      </c>
      <c r="W58" s="8" t="s">
        <v>110</v>
      </c>
      <c r="X58" s="6"/>
      <c r="Y58" s="6"/>
      <c r="Z58" s="6"/>
      <c r="AA58" s="6" t="s">
        <v>90</v>
      </c>
    </row>
    <row r="59" spans="1:27" s="4" customFormat="1" ht="51.95" customHeight="1">
      <c r="A59" s="5">
        <v>0</v>
      </c>
      <c r="B59" s="6" t="s">
        <v>424</v>
      </c>
      <c r="C59" s="13">
        <v>2100</v>
      </c>
      <c r="D59" s="8" t="s">
        <v>425</v>
      </c>
      <c r="E59" s="8" t="s">
        <v>426</v>
      </c>
      <c r="F59" s="8" t="s">
        <v>427</v>
      </c>
      <c r="G59" s="6" t="s">
        <v>63</v>
      </c>
      <c r="H59" s="6" t="s">
        <v>347</v>
      </c>
      <c r="I59" s="8"/>
      <c r="J59" s="9">
        <v>1</v>
      </c>
      <c r="K59" s="9">
        <v>592</v>
      </c>
      <c r="L59" s="9">
        <v>2023</v>
      </c>
      <c r="M59" s="8" t="s">
        <v>428</v>
      </c>
      <c r="N59" s="8" t="s">
        <v>41</v>
      </c>
      <c r="O59" s="8" t="s">
        <v>97</v>
      </c>
      <c r="P59" s="6" t="s">
        <v>67</v>
      </c>
      <c r="Q59" s="8" t="s">
        <v>86</v>
      </c>
      <c r="R59" s="10" t="s">
        <v>429</v>
      </c>
      <c r="S59" s="11" t="s">
        <v>430</v>
      </c>
      <c r="T59" s="6"/>
      <c r="U59" s="28" t="str">
        <f>HYPERLINK("https://media.infra-m.ru/1933/1933181/cover/1933181.jpg", "Обложка")</f>
        <v>Обложка</v>
      </c>
      <c r="V59" s="28" t="str">
        <f>HYPERLINK("https://znanium.com/catalog/product/1933181", "Ознакомиться")</f>
        <v>Ознакомиться</v>
      </c>
      <c r="W59" s="8" t="s">
        <v>352</v>
      </c>
      <c r="X59" s="6"/>
      <c r="Y59" s="6"/>
      <c r="Z59" s="6"/>
      <c r="AA59" s="6" t="s">
        <v>431</v>
      </c>
    </row>
    <row r="60" spans="1:27" s="4" customFormat="1" ht="42" customHeight="1">
      <c r="A60" s="5">
        <v>0</v>
      </c>
      <c r="B60" s="6" t="s">
        <v>432</v>
      </c>
      <c r="C60" s="13">
        <v>1180</v>
      </c>
      <c r="D60" s="8" t="s">
        <v>433</v>
      </c>
      <c r="E60" s="8" t="s">
        <v>434</v>
      </c>
      <c r="F60" s="8" t="s">
        <v>75</v>
      </c>
      <c r="G60" s="6" t="s">
        <v>95</v>
      </c>
      <c r="H60" s="6" t="s">
        <v>52</v>
      </c>
      <c r="I60" s="8" t="s">
        <v>192</v>
      </c>
      <c r="J60" s="9">
        <v>1</v>
      </c>
      <c r="K60" s="9">
        <v>368</v>
      </c>
      <c r="L60" s="9">
        <v>2018</v>
      </c>
      <c r="M60" s="8" t="s">
        <v>435</v>
      </c>
      <c r="N60" s="8" t="s">
        <v>41</v>
      </c>
      <c r="O60" s="8" t="s">
        <v>42</v>
      </c>
      <c r="P60" s="6" t="s">
        <v>67</v>
      </c>
      <c r="Q60" s="8" t="s">
        <v>194</v>
      </c>
      <c r="R60" s="10" t="s">
        <v>436</v>
      </c>
      <c r="S60" s="11"/>
      <c r="T60" s="6"/>
      <c r="U60" s="28" t="str">
        <f>HYPERLINK("https://media.infra-m.ru/0988/0988551/cover/988551.jpg", "Обложка")</f>
        <v>Обложка</v>
      </c>
      <c r="V60" s="28" t="str">
        <f>HYPERLINK("https://znanium.com/catalog/product/1927297", "Ознакомиться")</f>
        <v>Ознакомиться</v>
      </c>
      <c r="W60" s="8" t="s">
        <v>57</v>
      </c>
      <c r="X60" s="6"/>
      <c r="Y60" s="6"/>
      <c r="Z60" s="6" t="s">
        <v>197</v>
      </c>
      <c r="AA60" s="6" t="s">
        <v>71</v>
      </c>
    </row>
    <row r="61" spans="1:27" s="4" customFormat="1" ht="42" customHeight="1">
      <c r="A61" s="5">
        <v>0</v>
      </c>
      <c r="B61" s="6" t="s">
        <v>437</v>
      </c>
      <c r="C61" s="13">
        <v>1510</v>
      </c>
      <c r="D61" s="8" t="s">
        <v>438</v>
      </c>
      <c r="E61" s="8" t="s">
        <v>439</v>
      </c>
      <c r="F61" s="8" t="s">
        <v>75</v>
      </c>
      <c r="G61" s="6" t="s">
        <v>63</v>
      </c>
      <c r="H61" s="6" t="s">
        <v>52</v>
      </c>
      <c r="I61" s="8" t="s">
        <v>192</v>
      </c>
      <c r="J61" s="9">
        <v>1</v>
      </c>
      <c r="K61" s="9">
        <v>336</v>
      </c>
      <c r="L61" s="9">
        <v>2023</v>
      </c>
      <c r="M61" s="8" t="s">
        <v>440</v>
      </c>
      <c r="N61" s="8" t="s">
        <v>41</v>
      </c>
      <c r="O61" s="8" t="s">
        <v>42</v>
      </c>
      <c r="P61" s="6" t="s">
        <v>67</v>
      </c>
      <c r="Q61" s="8" t="s">
        <v>194</v>
      </c>
      <c r="R61" s="10" t="s">
        <v>436</v>
      </c>
      <c r="S61" s="11"/>
      <c r="T61" s="6"/>
      <c r="U61" s="28" t="str">
        <f>HYPERLINK("https://media.infra-m.ru/1927/1927297/cover/1927297.jpg", "Обложка")</f>
        <v>Обложка</v>
      </c>
      <c r="V61" s="28" t="str">
        <f>HYPERLINK("https://znanium.com/catalog/product/1927297", "Ознакомиться")</f>
        <v>Ознакомиться</v>
      </c>
      <c r="W61" s="8" t="s">
        <v>57</v>
      </c>
      <c r="X61" s="6"/>
      <c r="Y61" s="6"/>
      <c r="Z61" s="6" t="s">
        <v>197</v>
      </c>
      <c r="AA61" s="6" t="s">
        <v>441</v>
      </c>
    </row>
    <row r="62" spans="1:27" s="4" customFormat="1" ht="51.95" customHeight="1">
      <c r="A62" s="5">
        <v>0</v>
      </c>
      <c r="B62" s="6" t="s">
        <v>442</v>
      </c>
      <c r="C62" s="13">
        <v>1180</v>
      </c>
      <c r="D62" s="8" t="s">
        <v>443</v>
      </c>
      <c r="E62" s="8" t="s">
        <v>444</v>
      </c>
      <c r="F62" s="8" t="s">
        <v>75</v>
      </c>
      <c r="G62" s="6" t="s">
        <v>95</v>
      </c>
      <c r="H62" s="6" t="s">
        <v>52</v>
      </c>
      <c r="I62" s="8"/>
      <c r="J62" s="9">
        <v>1</v>
      </c>
      <c r="K62" s="9">
        <v>368</v>
      </c>
      <c r="L62" s="9">
        <v>2019</v>
      </c>
      <c r="M62" s="8" t="s">
        <v>445</v>
      </c>
      <c r="N62" s="8" t="s">
        <v>41</v>
      </c>
      <c r="O62" s="8" t="s">
        <v>42</v>
      </c>
      <c r="P62" s="6" t="s">
        <v>67</v>
      </c>
      <c r="Q62" s="8" t="s">
        <v>86</v>
      </c>
      <c r="R62" s="10" t="s">
        <v>446</v>
      </c>
      <c r="S62" s="11"/>
      <c r="T62" s="6"/>
      <c r="U62" s="28" t="str">
        <f>HYPERLINK("https://media.infra-m.ru/1020/1020224/cover/1020224.jpg", "Обложка")</f>
        <v>Обложка</v>
      </c>
      <c r="V62" s="28" t="str">
        <f>HYPERLINK("https://znanium.com/catalog/product/1137865", "Ознакомиться")</f>
        <v>Ознакомиться</v>
      </c>
      <c r="W62" s="8" t="s">
        <v>57</v>
      </c>
      <c r="X62" s="6"/>
      <c r="Y62" s="6"/>
      <c r="Z62" s="6"/>
      <c r="AA62" s="6" t="s">
        <v>285</v>
      </c>
    </row>
    <row r="63" spans="1:27" s="4" customFormat="1" ht="51.95" customHeight="1">
      <c r="A63" s="5">
        <v>0</v>
      </c>
      <c r="B63" s="6" t="s">
        <v>447</v>
      </c>
      <c r="C63" s="13">
        <v>1269.9000000000001</v>
      </c>
      <c r="D63" s="8" t="s">
        <v>448</v>
      </c>
      <c r="E63" s="8" t="s">
        <v>449</v>
      </c>
      <c r="F63" s="8" t="s">
        <v>75</v>
      </c>
      <c r="G63" s="6" t="s">
        <v>95</v>
      </c>
      <c r="H63" s="6" t="s">
        <v>52</v>
      </c>
      <c r="I63" s="8"/>
      <c r="J63" s="9">
        <v>1</v>
      </c>
      <c r="K63" s="9">
        <v>336</v>
      </c>
      <c r="L63" s="9">
        <v>2021</v>
      </c>
      <c r="M63" s="8" t="s">
        <v>450</v>
      </c>
      <c r="N63" s="8" t="s">
        <v>41</v>
      </c>
      <c r="O63" s="8" t="s">
        <v>42</v>
      </c>
      <c r="P63" s="6" t="s">
        <v>67</v>
      </c>
      <c r="Q63" s="8" t="s">
        <v>86</v>
      </c>
      <c r="R63" s="10" t="s">
        <v>446</v>
      </c>
      <c r="S63" s="11"/>
      <c r="T63" s="6"/>
      <c r="U63" s="28" t="str">
        <f>HYPERLINK("https://media.infra-m.ru/1137/1137865/cover/1137865.jpg", "Обложка")</f>
        <v>Обложка</v>
      </c>
      <c r="V63" s="28" t="str">
        <f>HYPERLINK("https://znanium.com/catalog/product/1137865", "Ознакомиться")</f>
        <v>Ознакомиться</v>
      </c>
      <c r="W63" s="8" t="s">
        <v>57</v>
      </c>
      <c r="X63" s="6"/>
      <c r="Y63" s="6"/>
      <c r="Z63" s="6"/>
      <c r="AA63" s="6" t="s">
        <v>451</v>
      </c>
    </row>
    <row r="64" spans="1:27" s="4" customFormat="1" ht="42" customHeight="1">
      <c r="A64" s="5">
        <v>0</v>
      </c>
      <c r="B64" s="6" t="s">
        <v>452</v>
      </c>
      <c r="C64" s="13">
        <v>1444.9</v>
      </c>
      <c r="D64" s="8" t="s">
        <v>453</v>
      </c>
      <c r="E64" s="8" t="s">
        <v>454</v>
      </c>
      <c r="F64" s="8" t="s">
        <v>455</v>
      </c>
      <c r="G64" s="6" t="s">
        <v>95</v>
      </c>
      <c r="H64" s="6" t="s">
        <v>52</v>
      </c>
      <c r="I64" s="8"/>
      <c r="J64" s="9">
        <v>1</v>
      </c>
      <c r="K64" s="9">
        <v>384</v>
      </c>
      <c r="L64" s="9">
        <v>2021</v>
      </c>
      <c r="M64" s="8" t="s">
        <v>456</v>
      </c>
      <c r="N64" s="8" t="s">
        <v>41</v>
      </c>
      <c r="O64" s="8" t="s">
        <v>42</v>
      </c>
      <c r="P64" s="6" t="s">
        <v>67</v>
      </c>
      <c r="Q64" s="8" t="s">
        <v>86</v>
      </c>
      <c r="R64" s="10" t="s">
        <v>457</v>
      </c>
      <c r="S64" s="11"/>
      <c r="T64" s="6"/>
      <c r="U64" s="28" t="str">
        <f>HYPERLINK("https://media.infra-m.ru/1405/1405583/cover/1405583.jpg", "Обложка")</f>
        <v>Обложка</v>
      </c>
      <c r="V64" s="28" t="str">
        <f>HYPERLINK("https://znanium.com/catalog/product/1405583", "Ознакомиться")</f>
        <v>Ознакомиться</v>
      </c>
      <c r="W64" s="8" t="s">
        <v>57</v>
      </c>
      <c r="X64" s="6"/>
      <c r="Y64" s="6"/>
      <c r="Z64" s="6"/>
      <c r="AA64" s="6" t="s">
        <v>58</v>
      </c>
    </row>
    <row r="65" spans="1:27" s="4" customFormat="1" ht="21.95" customHeight="1">
      <c r="A65" s="5">
        <v>0</v>
      </c>
      <c r="B65" s="6" t="s">
        <v>458</v>
      </c>
      <c r="C65" s="7">
        <v>144.9</v>
      </c>
      <c r="D65" s="8" t="s">
        <v>459</v>
      </c>
      <c r="E65" s="8" t="s">
        <v>454</v>
      </c>
      <c r="F65" s="8"/>
      <c r="G65" s="6" t="s">
        <v>37</v>
      </c>
      <c r="H65" s="6" t="s">
        <v>38</v>
      </c>
      <c r="I65" s="8" t="s">
        <v>303</v>
      </c>
      <c r="J65" s="9">
        <v>1</v>
      </c>
      <c r="K65" s="9">
        <v>128</v>
      </c>
      <c r="L65" s="9">
        <v>2020</v>
      </c>
      <c r="M65" s="8" t="s">
        <v>460</v>
      </c>
      <c r="N65" s="8" t="s">
        <v>41</v>
      </c>
      <c r="O65" s="8" t="s">
        <v>42</v>
      </c>
      <c r="P65" s="6" t="s">
        <v>305</v>
      </c>
      <c r="Q65" s="8" t="s">
        <v>86</v>
      </c>
      <c r="R65" s="10" t="s">
        <v>461</v>
      </c>
      <c r="S65" s="11"/>
      <c r="T65" s="6"/>
      <c r="U65" s="12"/>
      <c r="V65" s="12"/>
      <c r="W65" s="8"/>
      <c r="X65" s="6"/>
      <c r="Y65" s="6"/>
      <c r="Z65" s="6"/>
      <c r="AA65" s="6" t="s">
        <v>353</v>
      </c>
    </row>
    <row r="66" spans="1:27" s="4" customFormat="1" ht="51.95" customHeight="1">
      <c r="A66" s="5">
        <v>0</v>
      </c>
      <c r="B66" s="6" t="s">
        <v>462</v>
      </c>
      <c r="C66" s="7">
        <v>940</v>
      </c>
      <c r="D66" s="8" t="s">
        <v>463</v>
      </c>
      <c r="E66" s="8" t="s">
        <v>464</v>
      </c>
      <c r="F66" s="8" t="s">
        <v>465</v>
      </c>
      <c r="G66" s="6" t="s">
        <v>37</v>
      </c>
      <c r="H66" s="6" t="s">
        <v>347</v>
      </c>
      <c r="I66" s="8"/>
      <c r="J66" s="9">
        <v>1</v>
      </c>
      <c r="K66" s="9">
        <v>208</v>
      </c>
      <c r="L66" s="9">
        <v>2023</v>
      </c>
      <c r="M66" s="8" t="s">
        <v>466</v>
      </c>
      <c r="N66" s="8" t="s">
        <v>41</v>
      </c>
      <c r="O66" s="8" t="s">
        <v>97</v>
      </c>
      <c r="P66" s="6" t="s">
        <v>43</v>
      </c>
      <c r="Q66" s="8" t="s">
        <v>467</v>
      </c>
      <c r="R66" s="10" t="s">
        <v>468</v>
      </c>
      <c r="S66" s="11"/>
      <c r="T66" s="6"/>
      <c r="U66" s="28" t="str">
        <f>HYPERLINK("https://media.infra-m.ru/1971/1971049/cover/1971049.jpg", "Обложка")</f>
        <v>Обложка</v>
      </c>
      <c r="V66" s="28" t="str">
        <f>HYPERLINK("https://znanium.com/catalog/product/1971049", "Ознакомиться")</f>
        <v>Ознакомиться</v>
      </c>
      <c r="W66" s="8" t="s">
        <v>110</v>
      </c>
      <c r="X66" s="6"/>
      <c r="Y66" s="6"/>
      <c r="Z66" s="6"/>
      <c r="AA66" s="6" t="s">
        <v>469</v>
      </c>
    </row>
    <row r="67" spans="1:27" s="4" customFormat="1" ht="51.95" customHeight="1">
      <c r="A67" s="5">
        <v>0</v>
      </c>
      <c r="B67" s="6" t="s">
        <v>470</v>
      </c>
      <c r="C67" s="7">
        <v>734</v>
      </c>
      <c r="D67" s="8" t="s">
        <v>471</v>
      </c>
      <c r="E67" s="8" t="s">
        <v>472</v>
      </c>
      <c r="F67" s="8" t="s">
        <v>473</v>
      </c>
      <c r="G67" s="6" t="s">
        <v>37</v>
      </c>
      <c r="H67" s="6" t="s">
        <v>347</v>
      </c>
      <c r="I67" s="8"/>
      <c r="J67" s="9">
        <v>1</v>
      </c>
      <c r="K67" s="9">
        <v>160</v>
      </c>
      <c r="L67" s="9">
        <v>2024</v>
      </c>
      <c r="M67" s="8" t="s">
        <v>474</v>
      </c>
      <c r="N67" s="8" t="s">
        <v>41</v>
      </c>
      <c r="O67" s="8" t="s">
        <v>97</v>
      </c>
      <c r="P67" s="6" t="s">
        <v>54</v>
      </c>
      <c r="Q67" s="8" t="s">
        <v>86</v>
      </c>
      <c r="R67" s="10" t="s">
        <v>475</v>
      </c>
      <c r="S67" s="11"/>
      <c r="T67" s="6"/>
      <c r="U67" s="28" t="str">
        <f>HYPERLINK("https://media.infra-m.ru/2083/2083794/cover/2083794.jpg", "Обложка")</f>
        <v>Обложка</v>
      </c>
      <c r="V67" s="28" t="str">
        <f>HYPERLINK("https://znanium.com/catalog/product/1843562", "Ознакомиться")</f>
        <v>Ознакомиться</v>
      </c>
      <c r="W67" s="8" t="s">
        <v>476</v>
      </c>
      <c r="X67" s="6"/>
      <c r="Y67" s="6"/>
      <c r="Z67" s="6"/>
      <c r="AA67" s="6" t="s">
        <v>317</v>
      </c>
    </row>
    <row r="68" spans="1:27" s="4" customFormat="1" ht="51.95" customHeight="1">
      <c r="A68" s="5">
        <v>0</v>
      </c>
      <c r="B68" s="6" t="s">
        <v>477</v>
      </c>
      <c r="C68" s="7">
        <v>570</v>
      </c>
      <c r="D68" s="8" t="s">
        <v>478</v>
      </c>
      <c r="E68" s="8" t="s">
        <v>479</v>
      </c>
      <c r="F68" s="8" t="s">
        <v>480</v>
      </c>
      <c r="G68" s="6" t="s">
        <v>37</v>
      </c>
      <c r="H68" s="6" t="s">
        <v>64</v>
      </c>
      <c r="I68" s="8" t="s">
        <v>185</v>
      </c>
      <c r="J68" s="9">
        <v>1</v>
      </c>
      <c r="K68" s="9">
        <v>118</v>
      </c>
      <c r="L68" s="9">
        <v>2023</v>
      </c>
      <c r="M68" s="8" t="s">
        <v>481</v>
      </c>
      <c r="N68" s="8" t="s">
        <v>41</v>
      </c>
      <c r="O68" s="8" t="s">
        <v>97</v>
      </c>
      <c r="P68" s="6" t="s">
        <v>54</v>
      </c>
      <c r="Q68" s="8" t="s">
        <v>134</v>
      </c>
      <c r="R68" s="10" t="s">
        <v>482</v>
      </c>
      <c r="S68" s="11" t="s">
        <v>483</v>
      </c>
      <c r="T68" s="6"/>
      <c r="U68" s="28" t="str">
        <f>HYPERLINK("https://media.infra-m.ru/2016/2016332/cover/2016332.jpg", "Обложка")</f>
        <v>Обложка</v>
      </c>
      <c r="V68" s="28" t="str">
        <f>HYPERLINK("https://znanium.com/catalog/product/2016332", "Ознакомиться")</f>
        <v>Ознакомиться</v>
      </c>
      <c r="W68" s="8" t="s">
        <v>484</v>
      </c>
      <c r="X68" s="6"/>
      <c r="Y68" s="6"/>
      <c r="Z68" s="6"/>
      <c r="AA68" s="6" t="s">
        <v>47</v>
      </c>
    </row>
    <row r="69" spans="1:27" s="4" customFormat="1" ht="51.95" customHeight="1">
      <c r="A69" s="5">
        <v>0</v>
      </c>
      <c r="B69" s="6" t="s">
        <v>485</v>
      </c>
      <c r="C69" s="13">
        <v>2430</v>
      </c>
      <c r="D69" s="8" t="s">
        <v>486</v>
      </c>
      <c r="E69" s="8" t="s">
        <v>487</v>
      </c>
      <c r="F69" s="8" t="s">
        <v>488</v>
      </c>
      <c r="G69" s="6" t="s">
        <v>95</v>
      </c>
      <c r="H69" s="6" t="s">
        <v>347</v>
      </c>
      <c r="I69" s="8"/>
      <c r="J69" s="9">
        <v>1</v>
      </c>
      <c r="K69" s="9">
        <v>528</v>
      </c>
      <c r="L69" s="9">
        <v>2024</v>
      </c>
      <c r="M69" s="8" t="s">
        <v>489</v>
      </c>
      <c r="N69" s="8" t="s">
        <v>41</v>
      </c>
      <c r="O69" s="8" t="s">
        <v>97</v>
      </c>
      <c r="P69" s="6" t="s">
        <v>67</v>
      </c>
      <c r="Q69" s="8" t="s">
        <v>86</v>
      </c>
      <c r="R69" s="10" t="s">
        <v>490</v>
      </c>
      <c r="S69" s="11" t="s">
        <v>491</v>
      </c>
      <c r="T69" s="6"/>
      <c r="U69" s="28" t="str">
        <f>HYPERLINK("https://media.infra-m.ru/2096/2096303/cover/2096303.jpg", "Обложка")</f>
        <v>Обложка</v>
      </c>
      <c r="V69" s="28" t="str">
        <f>HYPERLINK("https://znanium.com/catalog/product/2096303", "Ознакомиться")</f>
        <v>Ознакомиться</v>
      </c>
      <c r="W69" s="8" t="s">
        <v>492</v>
      </c>
      <c r="X69" s="6"/>
      <c r="Y69" s="6"/>
      <c r="Z69" s="6"/>
      <c r="AA69" s="6" t="s">
        <v>493</v>
      </c>
    </row>
    <row r="70" spans="1:27" s="4" customFormat="1" ht="51.95" customHeight="1">
      <c r="A70" s="5">
        <v>0</v>
      </c>
      <c r="B70" s="6" t="s">
        <v>494</v>
      </c>
      <c r="C70" s="13">
        <v>1994</v>
      </c>
      <c r="D70" s="8" t="s">
        <v>495</v>
      </c>
      <c r="E70" s="8" t="s">
        <v>496</v>
      </c>
      <c r="F70" s="8" t="s">
        <v>497</v>
      </c>
      <c r="G70" s="6" t="s">
        <v>95</v>
      </c>
      <c r="H70" s="6" t="s">
        <v>64</v>
      </c>
      <c r="I70" s="8" t="s">
        <v>39</v>
      </c>
      <c r="J70" s="9">
        <v>1</v>
      </c>
      <c r="K70" s="9">
        <v>595</v>
      </c>
      <c r="L70" s="9">
        <v>2023</v>
      </c>
      <c r="M70" s="8" t="s">
        <v>498</v>
      </c>
      <c r="N70" s="8" t="s">
        <v>41</v>
      </c>
      <c r="O70" s="8" t="s">
        <v>97</v>
      </c>
      <c r="P70" s="6" t="s">
        <v>43</v>
      </c>
      <c r="Q70" s="8" t="s">
        <v>44</v>
      </c>
      <c r="R70" s="10" t="s">
        <v>499</v>
      </c>
      <c r="S70" s="11"/>
      <c r="T70" s="6"/>
      <c r="U70" s="28" t="str">
        <f>HYPERLINK("https://media.infra-m.ru/2045/2045969/cover/2045969.jpg", "Обложка")</f>
        <v>Обложка</v>
      </c>
      <c r="V70" s="28" t="str">
        <f>HYPERLINK("https://znanium.com/catalog/product/1041929", "Ознакомиться")</f>
        <v>Ознакомиться</v>
      </c>
      <c r="W70" s="8" t="s">
        <v>324</v>
      </c>
      <c r="X70" s="6"/>
      <c r="Y70" s="6"/>
      <c r="Z70" s="6"/>
      <c r="AA70" s="6" t="s">
        <v>401</v>
      </c>
    </row>
    <row r="71" spans="1:27" s="4" customFormat="1" ht="51.95" customHeight="1">
      <c r="A71" s="5">
        <v>0</v>
      </c>
      <c r="B71" s="6" t="s">
        <v>500</v>
      </c>
      <c r="C71" s="13">
        <v>1444</v>
      </c>
      <c r="D71" s="8" t="s">
        <v>501</v>
      </c>
      <c r="E71" s="8" t="s">
        <v>502</v>
      </c>
      <c r="F71" s="8" t="s">
        <v>497</v>
      </c>
      <c r="G71" s="6" t="s">
        <v>95</v>
      </c>
      <c r="H71" s="6" t="s">
        <v>64</v>
      </c>
      <c r="I71" s="8" t="s">
        <v>39</v>
      </c>
      <c r="J71" s="9">
        <v>1</v>
      </c>
      <c r="K71" s="9">
        <v>319</v>
      </c>
      <c r="L71" s="9">
        <v>2023</v>
      </c>
      <c r="M71" s="8" t="s">
        <v>503</v>
      </c>
      <c r="N71" s="8" t="s">
        <v>41</v>
      </c>
      <c r="O71" s="8" t="s">
        <v>97</v>
      </c>
      <c r="P71" s="6" t="s">
        <v>43</v>
      </c>
      <c r="Q71" s="8" t="s">
        <v>44</v>
      </c>
      <c r="R71" s="10" t="s">
        <v>504</v>
      </c>
      <c r="S71" s="11"/>
      <c r="T71" s="6"/>
      <c r="U71" s="28" t="str">
        <f>HYPERLINK("https://media.infra-m.ru/2030/2030891/cover/2030891.jpg", "Обложка")</f>
        <v>Обложка</v>
      </c>
      <c r="V71" s="28" t="str">
        <f>HYPERLINK("https://znanium.com/catalog/product/997116", "Ознакомиться")</f>
        <v>Ознакомиться</v>
      </c>
      <c r="W71" s="8" t="s">
        <v>324</v>
      </c>
      <c r="X71" s="6"/>
      <c r="Y71" s="6"/>
      <c r="Z71" s="6"/>
      <c r="AA71" s="6" t="s">
        <v>166</v>
      </c>
    </row>
    <row r="72" spans="1:27" s="4" customFormat="1" ht="42" customHeight="1">
      <c r="A72" s="5">
        <v>0</v>
      </c>
      <c r="B72" s="6" t="s">
        <v>505</v>
      </c>
      <c r="C72" s="13">
        <v>2180</v>
      </c>
      <c r="D72" s="8" t="s">
        <v>506</v>
      </c>
      <c r="E72" s="8" t="s">
        <v>507</v>
      </c>
      <c r="F72" s="8" t="s">
        <v>497</v>
      </c>
      <c r="G72" s="6" t="s">
        <v>63</v>
      </c>
      <c r="H72" s="6" t="s">
        <v>64</v>
      </c>
      <c r="I72" s="8" t="s">
        <v>39</v>
      </c>
      <c r="J72" s="9">
        <v>1</v>
      </c>
      <c r="K72" s="9">
        <v>549</v>
      </c>
      <c r="L72" s="9">
        <v>2023</v>
      </c>
      <c r="M72" s="8" t="s">
        <v>508</v>
      </c>
      <c r="N72" s="8" t="s">
        <v>41</v>
      </c>
      <c r="O72" s="8" t="s">
        <v>42</v>
      </c>
      <c r="P72" s="6" t="s">
        <v>43</v>
      </c>
      <c r="Q72" s="8" t="s">
        <v>44</v>
      </c>
      <c r="R72" s="10" t="s">
        <v>373</v>
      </c>
      <c r="S72" s="11"/>
      <c r="T72" s="6"/>
      <c r="U72" s="28" t="str">
        <f>HYPERLINK("https://media.infra-m.ru/1873/1873036/cover/1873036.jpg", "Обложка")</f>
        <v>Обложка</v>
      </c>
      <c r="V72" s="28" t="str">
        <f>HYPERLINK("https://znanium.com/catalog/product/1873036", "Ознакомиться")</f>
        <v>Ознакомиться</v>
      </c>
      <c r="W72" s="8" t="s">
        <v>324</v>
      </c>
      <c r="X72" s="6"/>
      <c r="Y72" s="6"/>
      <c r="Z72" s="6"/>
      <c r="AA72" s="6" t="s">
        <v>71</v>
      </c>
    </row>
    <row r="73" spans="1:27" s="4" customFormat="1" ht="51.95" customHeight="1">
      <c r="A73" s="5">
        <v>0</v>
      </c>
      <c r="B73" s="6" t="s">
        <v>509</v>
      </c>
      <c r="C73" s="7">
        <v>934</v>
      </c>
      <c r="D73" s="8" t="s">
        <v>510</v>
      </c>
      <c r="E73" s="8" t="s">
        <v>511</v>
      </c>
      <c r="F73" s="8" t="s">
        <v>512</v>
      </c>
      <c r="G73" s="6" t="s">
        <v>37</v>
      </c>
      <c r="H73" s="6" t="s">
        <v>347</v>
      </c>
      <c r="I73" s="8" t="s">
        <v>513</v>
      </c>
      <c r="J73" s="9">
        <v>1</v>
      </c>
      <c r="K73" s="9">
        <v>208</v>
      </c>
      <c r="L73" s="9">
        <v>2023</v>
      </c>
      <c r="M73" s="8" t="s">
        <v>514</v>
      </c>
      <c r="N73" s="8" t="s">
        <v>41</v>
      </c>
      <c r="O73" s="8" t="s">
        <v>97</v>
      </c>
      <c r="P73" s="6" t="s">
        <v>43</v>
      </c>
      <c r="Q73" s="8" t="s">
        <v>44</v>
      </c>
      <c r="R73" s="10" t="s">
        <v>515</v>
      </c>
      <c r="S73" s="11"/>
      <c r="T73" s="6"/>
      <c r="U73" s="28" t="str">
        <f>HYPERLINK("https://media.infra-m.ru/2001/2001647/cover/2001647.jpg", "Обложка")</f>
        <v>Обложка</v>
      </c>
      <c r="V73" s="28" t="str">
        <f>HYPERLINK("https://znanium.com/catalog/product/550771", "Ознакомиться")</f>
        <v>Ознакомиться</v>
      </c>
      <c r="W73" s="8" t="s">
        <v>492</v>
      </c>
      <c r="X73" s="6"/>
      <c r="Y73" s="6"/>
      <c r="Z73" s="6"/>
      <c r="AA73" s="6" t="s">
        <v>78</v>
      </c>
    </row>
    <row r="74" spans="1:27" s="4" customFormat="1" ht="42" customHeight="1">
      <c r="A74" s="5">
        <v>0</v>
      </c>
      <c r="B74" s="6" t="s">
        <v>516</v>
      </c>
      <c r="C74" s="7">
        <v>630</v>
      </c>
      <c r="D74" s="8" t="s">
        <v>517</v>
      </c>
      <c r="E74" s="8" t="s">
        <v>518</v>
      </c>
      <c r="F74" s="8" t="s">
        <v>519</v>
      </c>
      <c r="G74" s="6" t="s">
        <v>63</v>
      </c>
      <c r="H74" s="6" t="s">
        <v>52</v>
      </c>
      <c r="I74" s="8"/>
      <c r="J74" s="9">
        <v>1</v>
      </c>
      <c r="K74" s="9">
        <v>128</v>
      </c>
      <c r="L74" s="9">
        <v>2024</v>
      </c>
      <c r="M74" s="8" t="s">
        <v>520</v>
      </c>
      <c r="N74" s="8" t="s">
        <v>41</v>
      </c>
      <c r="O74" s="8" t="s">
        <v>42</v>
      </c>
      <c r="P74" s="6" t="s">
        <v>54</v>
      </c>
      <c r="Q74" s="8" t="s">
        <v>86</v>
      </c>
      <c r="R74" s="10" t="s">
        <v>56</v>
      </c>
      <c r="S74" s="11"/>
      <c r="T74" s="6"/>
      <c r="U74" s="28" t="str">
        <f>HYPERLINK("https://media.infra-m.ru/2111/2111409/cover/2111409.jpg", "Обложка")</f>
        <v>Обложка</v>
      </c>
      <c r="V74" s="28" t="str">
        <f>HYPERLINK("https://znanium.com/catalog/product/1996300", "Ознакомиться")</f>
        <v>Ознакомиться</v>
      </c>
      <c r="W74" s="8" t="s">
        <v>57</v>
      </c>
      <c r="X74" s="6"/>
      <c r="Y74" s="6"/>
      <c r="Z74" s="6"/>
      <c r="AA74" s="6" t="s">
        <v>58</v>
      </c>
    </row>
    <row r="75" spans="1:27" s="4" customFormat="1" ht="51.95" customHeight="1">
      <c r="A75" s="5">
        <v>0</v>
      </c>
      <c r="B75" s="6" t="s">
        <v>521</v>
      </c>
      <c r="C75" s="13">
        <v>1114</v>
      </c>
      <c r="D75" s="8" t="s">
        <v>522</v>
      </c>
      <c r="E75" s="8" t="s">
        <v>523</v>
      </c>
      <c r="F75" s="8" t="s">
        <v>524</v>
      </c>
      <c r="G75" s="6" t="s">
        <v>95</v>
      </c>
      <c r="H75" s="6" t="s">
        <v>38</v>
      </c>
      <c r="I75" s="8" t="s">
        <v>83</v>
      </c>
      <c r="J75" s="9">
        <v>1</v>
      </c>
      <c r="K75" s="9">
        <v>242</v>
      </c>
      <c r="L75" s="9">
        <v>2024</v>
      </c>
      <c r="M75" s="8" t="s">
        <v>525</v>
      </c>
      <c r="N75" s="8" t="s">
        <v>41</v>
      </c>
      <c r="O75" s="8" t="s">
        <v>97</v>
      </c>
      <c r="P75" s="6" t="s">
        <v>54</v>
      </c>
      <c r="Q75" s="8" t="s">
        <v>86</v>
      </c>
      <c r="R75" s="10" t="s">
        <v>526</v>
      </c>
      <c r="S75" s="11"/>
      <c r="T75" s="6"/>
      <c r="U75" s="28" t="str">
        <f>HYPERLINK("https://media.infra-m.ru/2096/2096930/cover/2096930.jpg", "Обложка")</f>
        <v>Обложка</v>
      </c>
      <c r="V75" s="28" t="str">
        <f>HYPERLINK("https://znanium.com/catalog/product/925868", "Ознакомиться")</f>
        <v>Ознакомиться</v>
      </c>
      <c r="W75" s="8"/>
      <c r="X75" s="6"/>
      <c r="Y75" s="6"/>
      <c r="Z75" s="6"/>
      <c r="AA75" s="6" t="s">
        <v>78</v>
      </c>
    </row>
    <row r="76" spans="1:27" s="4" customFormat="1" ht="51.95" customHeight="1">
      <c r="A76" s="5">
        <v>0</v>
      </c>
      <c r="B76" s="6" t="s">
        <v>527</v>
      </c>
      <c r="C76" s="7">
        <v>864.9</v>
      </c>
      <c r="D76" s="8" t="s">
        <v>528</v>
      </c>
      <c r="E76" s="8" t="s">
        <v>529</v>
      </c>
      <c r="F76" s="8" t="s">
        <v>530</v>
      </c>
      <c r="G76" s="6" t="s">
        <v>95</v>
      </c>
      <c r="H76" s="6" t="s">
        <v>64</v>
      </c>
      <c r="I76" s="8" t="s">
        <v>83</v>
      </c>
      <c r="J76" s="9">
        <v>1</v>
      </c>
      <c r="K76" s="9">
        <v>192</v>
      </c>
      <c r="L76" s="9">
        <v>2023</v>
      </c>
      <c r="M76" s="8" t="s">
        <v>531</v>
      </c>
      <c r="N76" s="8" t="s">
        <v>41</v>
      </c>
      <c r="O76" s="8" t="s">
        <v>97</v>
      </c>
      <c r="P76" s="6" t="s">
        <v>54</v>
      </c>
      <c r="Q76" s="8" t="s">
        <v>86</v>
      </c>
      <c r="R76" s="10" t="s">
        <v>422</v>
      </c>
      <c r="S76" s="11" t="s">
        <v>532</v>
      </c>
      <c r="T76" s="6"/>
      <c r="U76" s="28" t="str">
        <f>HYPERLINK("https://media.infra-m.ru/1906/1906698/cover/1906698.jpg", "Обложка")</f>
        <v>Обложка</v>
      </c>
      <c r="V76" s="28" t="str">
        <f>HYPERLINK("https://znanium.com/catalog/product/1254308", "Ознакомиться")</f>
        <v>Ознакомиться</v>
      </c>
      <c r="W76" s="8" t="s">
        <v>400</v>
      </c>
      <c r="X76" s="6"/>
      <c r="Y76" s="6"/>
      <c r="Z76" s="6"/>
      <c r="AA76" s="6" t="s">
        <v>47</v>
      </c>
    </row>
    <row r="77" spans="1:27" s="4" customFormat="1" ht="51.95" customHeight="1">
      <c r="A77" s="5">
        <v>0</v>
      </c>
      <c r="B77" s="6" t="s">
        <v>533</v>
      </c>
      <c r="C77" s="13">
        <v>1530</v>
      </c>
      <c r="D77" s="8" t="s">
        <v>534</v>
      </c>
      <c r="E77" s="8" t="s">
        <v>535</v>
      </c>
      <c r="F77" s="8" t="s">
        <v>536</v>
      </c>
      <c r="G77" s="6" t="s">
        <v>63</v>
      </c>
      <c r="H77" s="6" t="s">
        <v>64</v>
      </c>
      <c r="I77" s="8" t="s">
        <v>83</v>
      </c>
      <c r="J77" s="9">
        <v>1</v>
      </c>
      <c r="K77" s="9">
        <v>340</v>
      </c>
      <c r="L77" s="9">
        <v>2023</v>
      </c>
      <c r="M77" s="8" t="s">
        <v>537</v>
      </c>
      <c r="N77" s="8" t="s">
        <v>41</v>
      </c>
      <c r="O77" s="8" t="s">
        <v>97</v>
      </c>
      <c r="P77" s="6" t="s">
        <v>67</v>
      </c>
      <c r="Q77" s="8" t="s">
        <v>86</v>
      </c>
      <c r="R77" s="10" t="s">
        <v>538</v>
      </c>
      <c r="S77" s="11" t="s">
        <v>417</v>
      </c>
      <c r="T77" s="6" t="s">
        <v>144</v>
      </c>
      <c r="U77" s="28" t="str">
        <f>HYPERLINK("https://media.infra-m.ru/1907/1907032/cover/1907032.jpg", "Обложка")</f>
        <v>Обложка</v>
      </c>
      <c r="V77" s="28" t="str">
        <f>HYPERLINK("https://znanium.com/catalog/product/1907032", "Ознакомиться")</f>
        <v>Ознакомиться</v>
      </c>
      <c r="W77" s="8" t="s">
        <v>159</v>
      </c>
      <c r="X77" s="6"/>
      <c r="Y77" s="6"/>
      <c r="Z77" s="6"/>
      <c r="AA77" s="6" t="s">
        <v>206</v>
      </c>
    </row>
    <row r="78" spans="1:27" s="4" customFormat="1" ht="51.95" customHeight="1">
      <c r="A78" s="5">
        <v>0</v>
      </c>
      <c r="B78" s="6" t="s">
        <v>539</v>
      </c>
      <c r="C78" s="13">
        <v>1270</v>
      </c>
      <c r="D78" s="8" t="s">
        <v>540</v>
      </c>
      <c r="E78" s="8" t="s">
        <v>541</v>
      </c>
      <c r="F78" s="8" t="s">
        <v>542</v>
      </c>
      <c r="G78" s="6" t="s">
        <v>95</v>
      </c>
      <c r="H78" s="6" t="s">
        <v>64</v>
      </c>
      <c r="I78" s="8" t="s">
        <v>217</v>
      </c>
      <c r="J78" s="9">
        <v>1</v>
      </c>
      <c r="K78" s="9">
        <v>276</v>
      </c>
      <c r="L78" s="9">
        <v>2023</v>
      </c>
      <c r="M78" s="8" t="s">
        <v>543</v>
      </c>
      <c r="N78" s="8" t="s">
        <v>41</v>
      </c>
      <c r="O78" s="8" t="s">
        <v>97</v>
      </c>
      <c r="P78" s="6" t="s">
        <v>54</v>
      </c>
      <c r="Q78" s="8" t="s">
        <v>86</v>
      </c>
      <c r="R78" s="10" t="s">
        <v>538</v>
      </c>
      <c r="S78" s="11" t="s">
        <v>544</v>
      </c>
      <c r="T78" s="6" t="s">
        <v>144</v>
      </c>
      <c r="U78" s="28" t="str">
        <f>HYPERLINK("https://media.infra-m.ru/1898/1898405/cover/1898405.jpg", "Обложка")</f>
        <v>Обложка</v>
      </c>
      <c r="V78" s="28" t="str">
        <f>HYPERLINK("https://znanium.com/catalog/product/1898405", "Ознакомиться")</f>
        <v>Ознакомиться</v>
      </c>
      <c r="W78" s="8" t="s">
        <v>545</v>
      </c>
      <c r="X78" s="6" t="s">
        <v>546</v>
      </c>
      <c r="Y78" s="6"/>
      <c r="Z78" s="6"/>
      <c r="AA78" s="6" t="s">
        <v>101</v>
      </c>
    </row>
    <row r="79" spans="1:27" s="4" customFormat="1" ht="42" customHeight="1">
      <c r="A79" s="5">
        <v>0</v>
      </c>
      <c r="B79" s="6" t="s">
        <v>547</v>
      </c>
      <c r="C79" s="13">
        <v>1014.9</v>
      </c>
      <c r="D79" s="8" t="s">
        <v>548</v>
      </c>
      <c r="E79" s="8" t="s">
        <v>535</v>
      </c>
      <c r="F79" s="8" t="s">
        <v>549</v>
      </c>
      <c r="G79" s="6" t="s">
        <v>95</v>
      </c>
      <c r="H79" s="6" t="s">
        <v>125</v>
      </c>
      <c r="I79" s="8"/>
      <c r="J79" s="9">
        <v>1</v>
      </c>
      <c r="K79" s="9">
        <v>224</v>
      </c>
      <c r="L79" s="9">
        <v>2022</v>
      </c>
      <c r="M79" s="8" t="s">
        <v>550</v>
      </c>
      <c r="N79" s="8" t="s">
        <v>41</v>
      </c>
      <c r="O79" s="8" t="s">
        <v>97</v>
      </c>
      <c r="P79" s="6" t="s">
        <v>54</v>
      </c>
      <c r="Q79" s="8" t="s">
        <v>86</v>
      </c>
      <c r="R79" s="10" t="s">
        <v>538</v>
      </c>
      <c r="S79" s="11"/>
      <c r="T79" s="6" t="s">
        <v>144</v>
      </c>
      <c r="U79" s="28" t="str">
        <f>HYPERLINK("https://media.infra-m.ru/1862/1862378/cover/1862378.jpg", "Обложка")</f>
        <v>Обложка</v>
      </c>
      <c r="V79" s="28" t="str">
        <f>HYPERLINK("https://znanium.com/catalog/product/1898405", "Ознакомиться")</f>
        <v>Ознакомиться</v>
      </c>
      <c r="W79" s="8" t="s">
        <v>545</v>
      </c>
      <c r="X79" s="6"/>
      <c r="Y79" s="6"/>
      <c r="Z79" s="6"/>
      <c r="AA79" s="6" t="s">
        <v>90</v>
      </c>
    </row>
    <row r="80" spans="1:27" s="4" customFormat="1" ht="51.95" customHeight="1">
      <c r="A80" s="5">
        <v>0</v>
      </c>
      <c r="B80" s="6" t="s">
        <v>551</v>
      </c>
      <c r="C80" s="13">
        <v>1150</v>
      </c>
      <c r="D80" s="8" t="s">
        <v>552</v>
      </c>
      <c r="E80" s="8" t="s">
        <v>535</v>
      </c>
      <c r="F80" s="8" t="s">
        <v>553</v>
      </c>
      <c r="G80" s="6" t="s">
        <v>37</v>
      </c>
      <c r="H80" s="6" t="s">
        <v>64</v>
      </c>
      <c r="I80" s="8" t="s">
        <v>83</v>
      </c>
      <c r="J80" s="9">
        <v>1</v>
      </c>
      <c r="K80" s="9">
        <v>256</v>
      </c>
      <c r="L80" s="9">
        <v>2023</v>
      </c>
      <c r="M80" s="8" t="s">
        <v>554</v>
      </c>
      <c r="N80" s="8" t="s">
        <v>41</v>
      </c>
      <c r="O80" s="8" t="s">
        <v>97</v>
      </c>
      <c r="P80" s="6" t="s">
        <v>54</v>
      </c>
      <c r="Q80" s="8" t="s">
        <v>86</v>
      </c>
      <c r="R80" s="10" t="s">
        <v>555</v>
      </c>
      <c r="S80" s="11" t="s">
        <v>556</v>
      </c>
      <c r="T80" s="6"/>
      <c r="U80" s="28" t="str">
        <f>HYPERLINK("https://media.infra-m.ru/1941/1941772/cover/1941772.jpg", "Обложка")</f>
        <v>Обложка</v>
      </c>
      <c r="V80" s="28" t="str">
        <f>HYPERLINK("https://znanium.com/catalog/product/1941772", "Ознакомиться")</f>
        <v>Ознакомиться</v>
      </c>
      <c r="W80" s="8" t="s">
        <v>557</v>
      </c>
      <c r="X80" s="6"/>
      <c r="Y80" s="6"/>
      <c r="Z80" s="6"/>
      <c r="AA80" s="6" t="s">
        <v>90</v>
      </c>
    </row>
    <row r="81" spans="1:27" s="4" customFormat="1" ht="51.95" customHeight="1">
      <c r="A81" s="5">
        <v>0</v>
      </c>
      <c r="B81" s="6" t="s">
        <v>558</v>
      </c>
      <c r="C81" s="7">
        <v>654.9</v>
      </c>
      <c r="D81" s="8" t="s">
        <v>559</v>
      </c>
      <c r="E81" s="8" t="s">
        <v>560</v>
      </c>
      <c r="F81" s="8" t="s">
        <v>561</v>
      </c>
      <c r="G81" s="6" t="s">
        <v>37</v>
      </c>
      <c r="H81" s="6" t="s">
        <v>64</v>
      </c>
      <c r="I81" s="8" t="s">
        <v>192</v>
      </c>
      <c r="J81" s="9">
        <v>1</v>
      </c>
      <c r="K81" s="9">
        <v>137</v>
      </c>
      <c r="L81" s="9">
        <v>2023</v>
      </c>
      <c r="M81" s="8" t="s">
        <v>562</v>
      </c>
      <c r="N81" s="8" t="s">
        <v>41</v>
      </c>
      <c r="O81" s="8" t="s">
        <v>97</v>
      </c>
      <c r="P81" s="6" t="s">
        <v>54</v>
      </c>
      <c r="Q81" s="8" t="s">
        <v>194</v>
      </c>
      <c r="R81" s="10" t="s">
        <v>195</v>
      </c>
      <c r="S81" s="11" t="s">
        <v>563</v>
      </c>
      <c r="T81" s="6"/>
      <c r="U81" s="28" t="str">
        <f>HYPERLINK("https://media.infra-m.ru/2032/2032595/cover/2032595.jpg", "Обложка")</f>
        <v>Обложка</v>
      </c>
      <c r="V81" s="28" t="str">
        <f>HYPERLINK("https://znanium.com/catalog/product/1901905", "Ознакомиться")</f>
        <v>Ознакомиться</v>
      </c>
      <c r="W81" s="8" t="s">
        <v>564</v>
      </c>
      <c r="X81" s="6"/>
      <c r="Y81" s="6"/>
      <c r="Z81" s="6"/>
      <c r="AA81" s="6" t="s">
        <v>244</v>
      </c>
    </row>
    <row r="82" spans="1:27" s="4" customFormat="1" ht="51.95" customHeight="1">
      <c r="A82" s="5">
        <v>0</v>
      </c>
      <c r="B82" s="6" t="s">
        <v>565</v>
      </c>
      <c r="C82" s="7">
        <v>940</v>
      </c>
      <c r="D82" s="8" t="s">
        <v>566</v>
      </c>
      <c r="E82" s="8" t="s">
        <v>567</v>
      </c>
      <c r="F82" s="8" t="s">
        <v>568</v>
      </c>
      <c r="G82" s="6" t="s">
        <v>63</v>
      </c>
      <c r="H82" s="6" t="s">
        <v>64</v>
      </c>
      <c r="I82" s="8" t="s">
        <v>192</v>
      </c>
      <c r="J82" s="9">
        <v>1</v>
      </c>
      <c r="K82" s="9">
        <v>208</v>
      </c>
      <c r="L82" s="9">
        <v>2023</v>
      </c>
      <c r="M82" s="8" t="s">
        <v>569</v>
      </c>
      <c r="N82" s="8" t="s">
        <v>41</v>
      </c>
      <c r="O82" s="8" t="s">
        <v>97</v>
      </c>
      <c r="P82" s="6" t="s">
        <v>67</v>
      </c>
      <c r="Q82" s="8" t="s">
        <v>194</v>
      </c>
      <c r="R82" s="10" t="s">
        <v>195</v>
      </c>
      <c r="S82" s="11" t="s">
        <v>570</v>
      </c>
      <c r="T82" s="6"/>
      <c r="U82" s="28" t="str">
        <f>HYPERLINK("https://media.infra-m.ru/1916/1916128/cover/1916128.jpg", "Обложка")</f>
        <v>Обложка</v>
      </c>
      <c r="V82" s="28" t="str">
        <f>HYPERLINK("https://znanium.com/catalog/product/1916128", "Ознакомиться")</f>
        <v>Ознакомиться</v>
      </c>
      <c r="W82" s="8" t="s">
        <v>571</v>
      </c>
      <c r="X82" s="6"/>
      <c r="Y82" s="6"/>
      <c r="Z82" s="6"/>
      <c r="AA82" s="6" t="s">
        <v>401</v>
      </c>
    </row>
    <row r="83" spans="1:27" s="4" customFormat="1" ht="44.1" customHeight="1">
      <c r="A83" s="5">
        <v>0</v>
      </c>
      <c r="B83" s="6" t="s">
        <v>572</v>
      </c>
      <c r="C83" s="13">
        <v>1520</v>
      </c>
      <c r="D83" s="8" t="s">
        <v>573</v>
      </c>
      <c r="E83" s="8" t="s">
        <v>574</v>
      </c>
      <c r="F83" s="8" t="s">
        <v>575</v>
      </c>
      <c r="G83" s="6" t="s">
        <v>63</v>
      </c>
      <c r="H83" s="6" t="s">
        <v>347</v>
      </c>
      <c r="I83" s="8"/>
      <c r="J83" s="9">
        <v>1</v>
      </c>
      <c r="K83" s="9">
        <v>336</v>
      </c>
      <c r="L83" s="9">
        <v>2023</v>
      </c>
      <c r="M83" s="8" t="s">
        <v>576</v>
      </c>
      <c r="N83" s="8" t="s">
        <v>41</v>
      </c>
      <c r="O83" s="8" t="s">
        <v>97</v>
      </c>
      <c r="P83" s="6" t="s">
        <v>577</v>
      </c>
      <c r="Q83" s="8" t="s">
        <v>86</v>
      </c>
      <c r="R83" s="10" t="s">
        <v>578</v>
      </c>
      <c r="S83" s="11"/>
      <c r="T83" s="6"/>
      <c r="U83" s="28" t="str">
        <f>HYPERLINK("https://media.infra-m.ru/1912/1912966/cover/1912966.jpg", "Обложка")</f>
        <v>Обложка</v>
      </c>
      <c r="V83" s="28" t="str">
        <f>HYPERLINK("https://znanium.com/catalog/product/1239144", "Ознакомиться")</f>
        <v>Ознакомиться</v>
      </c>
      <c r="W83" s="8" t="s">
        <v>579</v>
      </c>
      <c r="X83" s="6"/>
      <c r="Y83" s="6"/>
      <c r="Z83" s="6"/>
      <c r="AA83" s="6" t="s">
        <v>58</v>
      </c>
    </row>
    <row r="84" spans="1:27" s="4" customFormat="1" ht="51.95" customHeight="1">
      <c r="A84" s="5">
        <v>0</v>
      </c>
      <c r="B84" s="6" t="s">
        <v>580</v>
      </c>
      <c r="C84" s="7">
        <v>269.89999999999998</v>
      </c>
      <c r="D84" s="8" t="s">
        <v>581</v>
      </c>
      <c r="E84" s="8" t="s">
        <v>582</v>
      </c>
      <c r="F84" s="8" t="s">
        <v>583</v>
      </c>
      <c r="G84" s="6" t="s">
        <v>26</v>
      </c>
      <c r="H84" s="6" t="s">
        <v>357</v>
      </c>
      <c r="I84" s="8"/>
      <c r="J84" s="9">
        <v>18</v>
      </c>
      <c r="K84" s="9">
        <v>248</v>
      </c>
      <c r="L84" s="9">
        <v>2015</v>
      </c>
      <c r="M84" s="8" t="s">
        <v>584</v>
      </c>
      <c r="N84" s="8" t="s">
        <v>41</v>
      </c>
      <c r="O84" s="8" t="s">
        <v>97</v>
      </c>
      <c r="P84" s="6" t="s">
        <v>54</v>
      </c>
      <c r="Q84" s="8" t="s">
        <v>86</v>
      </c>
      <c r="R84" s="10" t="s">
        <v>585</v>
      </c>
      <c r="S84" s="11" t="s">
        <v>586</v>
      </c>
      <c r="T84" s="6"/>
      <c r="U84" s="12"/>
      <c r="V84" s="28" t="str">
        <f>HYPERLINK("https://znanium.com/catalog/product/2083229", "Ознакомиться")</f>
        <v>Ознакомиться</v>
      </c>
      <c r="W84" s="8" t="s">
        <v>587</v>
      </c>
      <c r="X84" s="6"/>
      <c r="Y84" s="6"/>
      <c r="Z84" s="6"/>
      <c r="AA84" s="6" t="s">
        <v>251</v>
      </c>
    </row>
    <row r="85" spans="1:27" s="4" customFormat="1" ht="51.95" customHeight="1">
      <c r="A85" s="5">
        <v>0</v>
      </c>
      <c r="B85" s="6" t="s">
        <v>588</v>
      </c>
      <c r="C85" s="13">
        <v>1500</v>
      </c>
      <c r="D85" s="8" t="s">
        <v>589</v>
      </c>
      <c r="E85" s="8" t="s">
        <v>590</v>
      </c>
      <c r="F85" s="8" t="s">
        <v>591</v>
      </c>
      <c r="G85" s="6" t="s">
        <v>63</v>
      </c>
      <c r="H85" s="6" t="s">
        <v>357</v>
      </c>
      <c r="I85" s="8" t="s">
        <v>185</v>
      </c>
      <c r="J85" s="9">
        <v>1</v>
      </c>
      <c r="K85" s="9">
        <v>325</v>
      </c>
      <c r="L85" s="9">
        <v>2024</v>
      </c>
      <c r="M85" s="8" t="s">
        <v>592</v>
      </c>
      <c r="N85" s="8" t="s">
        <v>41</v>
      </c>
      <c r="O85" s="8" t="s">
        <v>97</v>
      </c>
      <c r="P85" s="6" t="s">
        <v>54</v>
      </c>
      <c r="Q85" s="8" t="s">
        <v>86</v>
      </c>
      <c r="R85" s="10" t="s">
        <v>585</v>
      </c>
      <c r="S85" s="11" t="s">
        <v>593</v>
      </c>
      <c r="T85" s="6"/>
      <c r="U85" s="28" t="str">
        <f>HYPERLINK("https://media.infra-m.ru/2083/2083229/cover/2083229.jpg", "Обложка")</f>
        <v>Обложка</v>
      </c>
      <c r="V85" s="28" t="str">
        <f>HYPERLINK("https://znanium.com/catalog/product/2083229", "Ознакомиться")</f>
        <v>Ознакомиться</v>
      </c>
      <c r="W85" s="8" t="s">
        <v>587</v>
      </c>
      <c r="X85" s="6"/>
      <c r="Y85" s="6"/>
      <c r="Z85" s="6"/>
      <c r="AA85" s="6" t="s">
        <v>493</v>
      </c>
    </row>
    <row r="86" spans="1:27" s="4" customFormat="1" ht="51.95" customHeight="1">
      <c r="A86" s="5">
        <v>0</v>
      </c>
      <c r="B86" s="6" t="s">
        <v>594</v>
      </c>
      <c r="C86" s="13">
        <v>1500</v>
      </c>
      <c r="D86" s="8" t="s">
        <v>595</v>
      </c>
      <c r="E86" s="8" t="s">
        <v>590</v>
      </c>
      <c r="F86" s="8" t="s">
        <v>591</v>
      </c>
      <c r="G86" s="6" t="s">
        <v>63</v>
      </c>
      <c r="H86" s="6" t="s">
        <v>357</v>
      </c>
      <c r="I86" s="8" t="s">
        <v>192</v>
      </c>
      <c r="J86" s="9">
        <v>1</v>
      </c>
      <c r="K86" s="9">
        <v>325</v>
      </c>
      <c r="L86" s="9">
        <v>2024</v>
      </c>
      <c r="M86" s="8" t="s">
        <v>596</v>
      </c>
      <c r="N86" s="8" t="s">
        <v>41</v>
      </c>
      <c r="O86" s="8" t="s">
        <v>97</v>
      </c>
      <c r="P86" s="6" t="s">
        <v>54</v>
      </c>
      <c r="Q86" s="8" t="s">
        <v>194</v>
      </c>
      <c r="R86" s="10" t="s">
        <v>597</v>
      </c>
      <c r="S86" s="11" t="s">
        <v>598</v>
      </c>
      <c r="T86" s="6"/>
      <c r="U86" s="28" t="str">
        <f>HYPERLINK("https://media.infra-m.ru/2106/2106668/cover/2106668.jpg", "Обложка")</f>
        <v>Обложка</v>
      </c>
      <c r="V86" s="28" t="str">
        <f>HYPERLINK("https://znanium.com/catalog/product/2106668", "Ознакомиться")</f>
        <v>Ознакомиться</v>
      </c>
      <c r="W86" s="8" t="s">
        <v>587</v>
      </c>
      <c r="X86" s="6"/>
      <c r="Y86" s="6"/>
      <c r="Z86" s="6" t="s">
        <v>197</v>
      </c>
      <c r="AA86" s="6" t="s">
        <v>244</v>
      </c>
    </row>
    <row r="87" spans="1:27" s="4" customFormat="1" ht="44.1" customHeight="1">
      <c r="A87" s="5">
        <v>0</v>
      </c>
      <c r="B87" s="6" t="s">
        <v>599</v>
      </c>
      <c r="C87" s="13">
        <v>2560</v>
      </c>
      <c r="D87" s="8" t="s">
        <v>600</v>
      </c>
      <c r="E87" s="8" t="s">
        <v>601</v>
      </c>
      <c r="F87" s="8" t="s">
        <v>602</v>
      </c>
      <c r="G87" s="6" t="s">
        <v>95</v>
      </c>
      <c r="H87" s="6" t="s">
        <v>347</v>
      </c>
      <c r="I87" s="8" t="s">
        <v>390</v>
      </c>
      <c r="J87" s="9">
        <v>1</v>
      </c>
      <c r="K87" s="9">
        <v>544</v>
      </c>
      <c r="L87" s="9">
        <v>2024</v>
      </c>
      <c r="M87" s="8" t="s">
        <v>603</v>
      </c>
      <c r="N87" s="8" t="s">
        <v>41</v>
      </c>
      <c r="O87" s="8" t="s">
        <v>97</v>
      </c>
      <c r="P87" s="6" t="s">
        <v>54</v>
      </c>
      <c r="Q87" s="8" t="s">
        <v>86</v>
      </c>
      <c r="R87" s="10" t="s">
        <v>604</v>
      </c>
      <c r="S87" s="11"/>
      <c r="T87" s="6"/>
      <c r="U87" s="28" t="str">
        <f>HYPERLINK("https://media.infra-m.ru/2102/2102679/cover/2102679.jpg", "Обложка")</f>
        <v>Обложка</v>
      </c>
      <c r="V87" s="28" t="str">
        <f>HYPERLINK("https://znanium.com/catalog/product/2102679", "Ознакомиться")</f>
        <v>Ознакомиться</v>
      </c>
      <c r="W87" s="8" t="s">
        <v>579</v>
      </c>
      <c r="X87" s="6"/>
      <c r="Y87" s="6"/>
      <c r="Z87" s="6"/>
      <c r="AA87" s="6" t="s">
        <v>78</v>
      </c>
    </row>
    <row r="88" spans="1:27" s="4" customFormat="1" ht="42" customHeight="1">
      <c r="A88" s="5">
        <v>0</v>
      </c>
      <c r="B88" s="6" t="s">
        <v>605</v>
      </c>
      <c r="C88" s="7">
        <v>754</v>
      </c>
      <c r="D88" s="8" t="s">
        <v>606</v>
      </c>
      <c r="E88" s="8" t="s">
        <v>607</v>
      </c>
      <c r="F88" s="8" t="s">
        <v>608</v>
      </c>
      <c r="G88" s="6" t="s">
        <v>95</v>
      </c>
      <c r="H88" s="6" t="s">
        <v>125</v>
      </c>
      <c r="I88" s="8"/>
      <c r="J88" s="9">
        <v>1</v>
      </c>
      <c r="K88" s="9">
        <v>168</v>
      </c>
      <c r="L88" s="9">
        <v>2023</v>
      </c>
      <c r="M88" s="8" t="s">
        <v>609</v>
      </c>
      <c r="N88" s="8" t="s">
        <v>41</v>
      </c>
      <c r="O88" s="8" t="s">
        <v>97</v>
      </c>
      <c r="P88" s="6" t="s">
        <v>54</v>
      </c>
      <c r="Q88" s="8" t="s">
        <v>86</v>
      </c>
      <c r="R88" s="10" t="s">
        <v>227</v>
      </c>
      <c r="S88" s="11"/>
      <c r="T88" s="6"/>
      <c r="U88" s="28" t="str">
        <f>HYPERLINK("https://media.infra-m.ru/2007/2007875/cover/2007875.jpg", "Обложка")</f>
        <v>Обложка</v>
      </c>
      <c r="V88" s="28" t="str">
        <f>HYPERLINK("https://znanium.com/catalog/product/1734656", "Ознакомиться")</f>
        <v>Ознакомиться</v>
      </c>
      <c r="W88" s="8"/>
      <c r="X88" s="6"/>
      <c r="Y88" s="6"/>
      <c r="Z88" s="6"/>
      <c r="AA88" s="6" t="s">
        <v>610</v>
      </c>
    </row>
    <row r="89" spans="1:27" s="4" customFormat="1" ht="51.95" customHeight="1">
      <c r="A89" s="5">
        <v>0</v>
      </c>
      <c r="B89" s="6" t="s">
        <v>611</v>
      </c>
      <c r="C89" s="13">
        <v>1340</v>
      </c>
      <c r="D89" s="8" t="s">
        <v>612</v>
      </c>
      <c r="E89" s="8" t="s">
        <v>613</v>
      </c>
      <c r="F89" s="8" t="s">
        <v>614</v>
      </c>
      <c r="G89" s="6" t="s">
        <v>95</v>
      </c>
      <c r="H89" s="6" t="s">
        <v>64</v>
      </c>
      <c r="I89" s="8" t="s">
        <v>185</v>
      </c>
      <c r="J89" s="9">
        <v>1</v>
      </c>
      <c r="K89" s="9">
        <v>282</v>
      </c>
      <c r="L89" s="9">
        <v>2024</v>
      </c>
      <c r="M89" s="8" t="s">
        <v>615</v>
      </c>
      <c r="N89" s="8" t="s">
        <v>41</v>
      </c>
      <c r="O89" s="8" t="s">
        <v>97</v>
      </c>
      <c r="P89" s="6" t="s">
        <v>67</v>
      </c>
      <c r="Q89" s="8" t="s">
        <v>134</v>
      </c>
      <c r="R89" s="10" t="s">
        <v>616</v>
      </c>
      <c r="S89" s="11"/>
      <c r="T89" s="6" t="s">
        <v>144</v>
      </c>
      <c r="U89" s="28" t="str">
        <f>HYPERLINK("https://media.infra-m.ru/1840/1840852/cover/1840852.jpg", "Обложка")</f>
        <v>Обложка</v>
      </c>
      <c r="V89" s="28" t="str">
        <f>HYPERLINK("https://znanium.com/catalog/product/1840852", "Ознакомиться")</f>
        <v>Ознакомиться</v>
      </c>
      <c r="W89" s="8" t="s">
        <v>284</v>
      </c>
      <c r="X89" s="6" t="s">
        <v>617</v>
      </c>
      <c r="Y89" s="6"/>
      <c r="Z89" s="6"/>
      <c r="AA89" s="6" t="s">
        <v>618</v>
      </c>
    </row>
    <row r="90" spans="1:27" s="4" customFormat="1" ht="51.95" customHeight="1">
      <c r="A90" s="5">
        <v>0</v>
      </c>
      <c r="B90" s="6" t="s">
        <v>619</v>
      </c>
      <c r="C90" s="13">
        <v>1104.9000000000001</v>
      </c>
      <c r="D90" s="8" t="s">
        <v>620</v>
      </c>
      <c r="E90" s="8" t="s">
        <v>621</v>
      </c>
      <c r="F90" s="8" t="s">
        <v>622</v>
      </c>
      <c r="G90" s="6" t="s">
        <v>95</v>
      </c>
      <c r="H90" s="6" t="s">
        <v>64</v>
      </c>
      <c r="I90" s="8" t="s">
        <v>65</v>
      </c>
      <c r="J90" s="9">
        <v>1</v>
      </c>
      <c r="K90" s="9">
        <v>324</v>
      </c>
      <c r="L90" s="9">
        <v>2020</v>
      </c>
      <c r="M90" s="8" t="s">
        <v>623</v>
      </c>
      <c r="N90" s="8" t="s">
        <v>41</v>
      </c>
      <c r="O90" s="8" t="s">
        <v>97</v>
      </c>
      <c r="P90" s="6" t="s">
        <v>54</v>
      </c>
      <c r="Q90" s="8" t="s">
        <v>55</v>
      </c>
      <c r="R90" s="10" t="s">
        <v>624</v>
      </c>
      <c r="S90" s="11" t="s">
        <v>625</v>
      </c>
      <c r="T90" s="6"/>
      <c r="U90" s="28" t="str">
        <f>HYPERLINK("https://media.infra-m.ru/1047/1047190/cover/1047190.jpg", "Обложка")</f>
        <v>Обложка</v>
      </c>
      <c r="V90" s="28" t="str">
        <f>HYPERLINK("https://znanium.com/catalog/product/924682", "Ознакомиться")</f>
        <v>Ознакомиться</v>
      </c>
      <c r="W90" s="8" t="s">
        <v>626</v>
      </c>
      <c r="X90" s="6"/>
      <c r="Y90" s="6"/>
      <c r="Z90" s="6"/>
      <c r="AA90" s="6" t="s">
        <v>78</v>
      </c>
    </row>
    <row r="91" spans="1:27" s="4" customFormat="1" ht="51.95" customHeight="1">
      <c r="A91" s="5">
        <v>0</v>
      </c>
      <c r="B91" s="6" t="s">
        <v>627</v>
      </c>
      <c r="C91" s="7">
        <v>654.9</v>
      </c>
      <c r="D91" s="8" t="s">
        <v>628</v>
      </c>
      <c r="E91" s="8" t="s">
        <v>629</v>
      </c>
      <c r="F91" s="8" t="s">
        <v>524</v>
      </c>
      <c r="G91" s="6" t="s">
        <v>95</v>
      </c>
      <c r="H91" s="6" t="s">
        <v>38</v>
      </c>
      <c r="I91" s="8" t="s">
        <v>83</v>
      </c>
      <c r="J91" s="9">
        <v>20</v>
      </c>
      <c r="K91" s="9">
        <v>331</v>
      </c>
      <c r="L91" s="9">
        <v>2016</v>
      </c>
      <c r="M91" s="8" t="s">
        <v>630</v>
      </c>
      <c r="N91" s="8" t="s">
        <v>41</v>
      </c>
      <c r="O91" s="8" t="s">
        <v>97</v>
      </c>
      <c r="P91" s="6" t="s">
        <v>54</v>
      </c>
      <c r="Q91" s="8" t="s">
        <v>86</v>
      </c>
      <c r="R91" s="10" t="s">
        <v>631</v>
      </c>
      <c r="S91" s="11"/>
      <c r="T91" s="6"/>
      <c r="U91" s="28" t="str">
        <f>HYPERLINK("https://media.infra-m.ru/0567/0567165/cover/567165.jpg", "Обложка")</f>
        <v>Обложка</v>
      </c>
      <c r="V91" s="28" t="str">
        <f>HYPERLINK("https://znanium.com/catalog/product/455414", "Ознакомиться")</f>
        <v>Ознакомиться</v>
      </c>
      <c r="W91" s="8"/>
      <c r="X91" s="6"/>
      <c r="Y91" s="6"/>
      <c r="Z91" s="6"/>
      <c r="AA91" s="6" t="s">
        <v>632</v>
      </c>
    </row>
    <row r="92" spans="1:27" s="4" customFormat="1" ht="51.95" customHeight="1">
      <c r="A92" s="5">
        <v>0</v>
      </c>
      <c r="B92" s="6" t="s">
        <v>633</v>
      </c>
      <c r="C92" s="13">
        <v>1360</v>
      </c>
      <c r="D92" s="8" t="s">
        <v>634</v>
      </c>
      <c r="E92" s="8" t="s">
        <v>635</v>
      </c>
      <c r="F92" s="8" t="s">
        <v>636</v>
      </c>
      <c r="G92" s="6" t="s">
        <v>63</v>
      </c>
      <c r="H92" s="6" t="s">
        <v>64</v>
      </c>
      <c r="I92" s="8" t="s">
        <v>83</v>
      </c>
      <c r="J92" s="9">
        <v>1</v>
      </c>
      <c r="K92" s="9">
        <v>399</v>
      </c>
      <c r="L92" s="9">
        <v>2020</v>
      </c>
      <c r="M92" s="8" t="s">
        <v>637</v>
      </c>
      <c r="N92" s="8" t="s">
        <v>41</v>
      </c>
      <c r="O92" s="8" t="s">
        <v>97</v>
      </c>
      <c r="P92" s="6" t="s">
        <v>67</v>
      </c>
      <c r="Q92" s="8" t="s">
        <v>86</v>
      </c>
      <c r="R92" s="10" t="s">
        <v>604</v>
      </c>
      <c r="S92" s="11" t="s">
        <v>638</v>
      </c>
      <c r="T92" s="6"/>
      <c r="U92" s="28" t="str">
        <f>HYPERLINK("https://media.infra-m.ru/1066/1066005/cover/1066005.jpg", "Обложка")</f>
        <v>Обложка</v>
      </c>
      <c r="V92" s="28" t="str">
        <f>HYPERLINK("https://znanium.com/catalog/product/1066005", "Ознакомиться")</f>
        <v>Ознакомиться</v>
      </c>
      <c r="W92" s="8" t="s">
        <v>639</v>
      </c>
      <c r="X92" s="6"/>
      <c r="Y92" s="6"/>
      <c r="Z92" s="6"/>
      <c r="AA92" s="6" t="s">
        <v>493</v>
      </c>
    </row>
    <row r="93" spans="1:27" s="4" customFormat="1" ht="51.95" customHeight="1">
      <c r="A93" s="5">
        <v>0</v>
      </c>
      <c r="B93" s="6" t="s">
        <v>640</v>
      </c>
      <c r="C93" s="13">
        <v>1354.9</v>
      </c>
      <c r="D93" s="8" t="s">
        <v>641</v>
      </c>
      <c r="E93" s="8" t="s">
        <v>642</v>
      </c>
      <c r="F93" s="8" t="s">
        <v>643</v>
      </c>
      <c r="G93" s="6" t="s">
        <v>95</v>
      </c>
      <c r="H93" s="6" t="s">
        <v>64</v>
      </c>
      <c r="I93" s="8" t="s">
        <v>83</v>
      </c>
      <c r="J93" s="9">
        <v>1</v>
      </c>
      <c r="K93" s="9">
        <v>300</v>
      </c>
      <c r="L93" s="9">
        <v>2023</v>
      </c>
      <c r="M93" s="8" t="s">
        <v>644</v>
      </c>
      <c r="N93" s="8" t="s">
        <v>41</v>
      </c>
      <c r="O93" s="8" t="s">
        <v>97</v>
      </c>
      <c r="P93" s="6" t="s">
        <v>54</v>
      </c>
      <c r="Q93" s="8" t="s">
        <v>86</v>
      </c>
      <c r="R93" s="10" t="s">
        <v>645</v>
      </c>
      <c r="S93" s="11" t="s">
        <v>646</v>
      </c>
      <c r="T93" s="6"/>
      <c r="U93" s="28" t="str">
        <f>HYPERLINK("https://media.infra-m.ru/2001/2001676/cover/2001676.jpg", "Обложка")</f>
        <v>Обложка</v>
      </c>
      <c r="V93" s="28" t="str">
        <f>HYPERLINK("https://znanium.com/catalog/product/1048439", "Ознакомиться")</f>
        <v>Ознакомиться</v>
      </c>
      <c r="W93" s="8" t="s">
        <v>647</v>
      </c>
      <c r="X93" s="6"/>
      <c r="Y93" s="6"/>
      <c r="Z93" s="6"/>
      <c r="AA93" s="6" t="s">
        <v>206</v>
      </c>
    </row>
    <row r="94" spans="1:27" s="4" customFormat="1" ht="44.1" customHeight="1">
      <c r="A94" s="5">
        <v>0</v>
      </c>
      <c r="B94" s="6" t="s">
        <v>648</v>
      </c>
      <c r="C94" s="7">
        <v>654</v>
      </c>
      <c r="D94" s="8" t="s">
        <v>649</v>
      </c>
      <c r="E94" s="8" t="s">
        <v>650</v>
      </c>
      <c r="F94" s="8" t="s">
        <v>651</v>
      </c>
      <c r="G94" s="6" t="s">
        <v>37</v>
      </c>
      <c r="H94" s="6" t="s">
        <v>347</v>
      </c>
      <c r="I94" s="8" t="s">
        <v>390</v>
      </c>
      <c r="J94" s="9">
        <v>1</v>
      </c>
      <c r="K94" s="9">
        <v>144</v>
      </c>
      <c r="L94" s="9">
        <v>2023</v>
      </c>
      <c r="M94" s="8" t="s">
        <v>652</v>
      </c>
      <c r="N94" s="8" t="s">
        <v>41</v>
      </c>
      <c r="O94" s="8" t="s">
        <v>97</v>
      </c>
      <c r="P94" s="6" t="s">
        <v>54</v>
      </c>
      <c r="Q94" s="8" t="s">
        <v>86</v>
      </c>
      <c r="R94" s="10" t="s">
        <v>653</v>
      </c>
      <c r="S94" s="11"/>
      <c r="T94" s="6"/>
      <c r="U94" s="28" t="str">
        <f>HYPERLINK("https://media.infra-m.ru/2044/2044336/cover/2044336.jpg", "Обложка")</f>
        <v>Обложка</v>
      </c>
      <c r="V94" s="28" t="str">
        <f>HYPERLINK("https://znanium.com/catalog/product/1224786", "Ознакомиться")</f>
        <v>Ознакомиться</v>
      </c>
      <c r="W94" s="8" t="s">
        <v>579</v>
      </c>
      <c r="X94" s="6"/>
      <c r="Y94" s="6"/>
      <c r="Z94" s="6"/>
      <c r="AA94" s="6" t="s">
        <v>180</v>
      </c>
    </row>
    <row r="95" spans="1:27" s="4" customFormat="1" ht="51.95" customHeight="1">
      <c r="A95" s="5">
        <v>0</v>
      </c>
      <c r="B95" s="6" t="s">
        <v>654</v>
      </c>
      <c r="C95" s="13">
        <v>1804.9</v>
      </c>
      <c r="D95" s="8" t="s">
        <v>655</v>
      </c>
      <c r="E95" s="8" t="s">
        <v>656</v>
      </c>
      <c r="F95" s="8" t="s">
        <v>657</v>
      </c>
      <c r="G95" s="6" t="s">
        <v>37</v>
      </c>
      <c r="H95" s="6" t="s">
        <v>347</v>
      </c>
      <c r="I95" s="8"/>
      <c r="J95" s="9">
        <v>1</v>
      </c>
      <c r="K95" s="9">
        <v>400</v>
      </c>
      <c r="L95" s="9">
        <v>2023</v>
      </c>
      <c r="M95" s="8" t="s">
        <v>658</v>
      </c>
      <c r="N95" s="8" t="s">
        <v>41</v>
      </c>
      <c r="O95" s="8" t="s">
        <v>97</v>
      </c>
      <c r="P95" s="6" t="s">
        <v>43</v>
      </c>
      <c r="Q95" s="8" t="s">
        <v>44</v>
      </c>
      <c r="R95" s="10" t="s">
        <v>659</v>
      </c>
      <c r="S95" s="11"/>
      <c r="T95" s="6"/>
      <c r="U95" s="28" t="str">
        <f>HYPERLINK("https://media.infra-m.ru/2038/2038255/cover/2038255.jpg", "Обложка")</f>
        <v>Обложка</v>
      </c>
      <c r="V95" s="28" t="str">
        <f>HYPERLINK("https://znanium.com/catalog/product/1009722", "Ознакомиться")</f>
        <v>Ознакомиться</v>
      </c>
      <c r="W95" s="8" t="s">
        <v>476</v>
      </c>
      <c r="X95" s="6"/>
      <c r="Y95" s="6"/>
      <c r="Z95" s="6"/>
      <c r="AA95" s="6" t="s">
        <v>317</v>
      </c>
    </row>
    <row r="96" spans="1:27" s="4" customFormat="1" ht="51.95" customHeight="1">
      <c r="A96" s="5">
        <v>0</v>
      </c>
      <c r="B96" s="6" t="s">
        <v>660</v>
      </c>
      <c r="C96" s="13">
        <v>2064</v>
      </c>
      <c r="D96" s="8" t="s">
        <v>661</v>
      </c>
      <c r="E96" s="8" t="s">
        <v>662</v>
      </c>
      <c r="F96" s="8" t="s">
        <v>663</v>
      </c>
      <c r="G96" s="6" t="s">
        <v>95</v>
      </c>
      <c r="H96" s="6" t="s">
        <v>347</v>
      </c>
      <c r="I96" s="8"/>
      <c r="J96" s="9">
        <v>1</v>
      </c>
      <c r="K96" s="9">
        <v>448</v>
      </c>
      <c r="L96" s="9">
        <v>2023</v>
      </c>
      <c r="M96" s="8" t="s">
        <v>664</v>
      </c>
      <c r="N96" s="8" t="s">
        <v>41</v>
      </c>
      <c r="O96" s="8" t="s">
        <v>97</v>
      </c>
      <c r="P96" s="6" t="s">
        <v>67</v>
      </c>
      <c r="Q96" s="8" t="s">
        <v>86</v>
      </c>
      <c r="R96" s="10" t="s">
        <v>665</v>
      </c>
      <c r="S96" s="11" t="s">
        <v>666</v>
      </c>
      <c r="T96" s="6"/>
      <c r="U96" s="28" t="str">
        <f>HYPERLINK("https://media.infra-m.ru/2053/2053246/cover/2053246.jpg", "Обложка")</f>
        <v>Обложка</v>
      </c>
      <c r="V96" s="28" t="str">
        <f>HYPERLINK("https://znanium.com/catalog/product/987793", "Ознакомиться")</f>
        <v>Ознакомиться</v>
      </c>
      <c r="W96" s="8" t="s">
        <v>476</v>
      </c>
      <c r="X96" s="6"/>
      <c r="Y96" s="6"/>
      <c r="Z96" s="6"/>
      <c r="AA96" s="6" t="s">
        <v>152</v>
      </c>
    </row>
    <row r="97" spans="1:27" s="4" customFormat="1" ht="51.95" customHeight="1">
      <c r="A97" s="5">
        <v>0</v>
      </c>
      <c r="B97" s="6" t="s">
        <v>667</v>
      </c>
      <c r="C97" s="7">
        <v>804</v>
      </c>
      <c r="D97" s="8" t="s">
        <v>668</v>
      </c>
      <c r="E97" s="8" t="s">
        <v>669</v>
      </c>
      <c r="F97" s="8" t="s">
        <v>670</v>
      </c>
      <c r="G97" s="6" t="s">
        <v>63</v>
      </c>
      <c r="H97" s="6" t="s">
        <v>64</v>
      </c>
      <c r="I97" s="8" t="s">
        <v>83</v>
      </c>
      <c r="J97" s="9">
        <v>1</v>
      </c>
      <c r="K97" s="9">
        <v>176</v>
      </c>
      <c r="L97" s="9">
        <v>2024</v>
      </c>
      <c r="M97" s="8" t="s">
        <v>671</v>
      </c>
      <c r="N97" s="8" t="s">
        <v>41</v>
      </c>
      <c r="O97" s="8" t="s">
        <v>97</v>
      </c>
      <c r="P97" s="6" t="s">
        <v>54</v>
      </c>
      <c r="Q97" s="8" t="s">
        <v>86</v>
      </c>
      <c r="R97" s="10" t="s">
        <v>422</v>
      </c>
      <c r="S97" s="11" t="s">
        <v>672</v>
      </c>
      <c r="T97" s="6"/>
      <c r="U97" s="28" t="str">
        <f>HYPERLINK("https://media.infra-m.ru/2103/2103128/cover/2103128.jpg", "Обложка")</f>
        <v>Обложка</v>
      </c>
      <c r="V97" s="28" t="str">
        <f>HYPERLINK("https://znanium.com/catalog/product/1067582", "Ознакомиться")</f>
        <v>Ознакомиться</v>
      </c>
      <c r="W97" s="8" t="s">
        <v>673</v>
      </c>
      <c r="X97" s="6"/>
      <c r="Y97" s="6"/>
      <c r="Z97" s="6"/>
      <c r="AA97" s="6" t="s">
        <v>90</v>
      </c>
    </row>
    <row r="98" spans="1:27" s="4" customFormat="1" ht="51.95" customHeight="1">
      <c r="A98" s="5">
        <v>0</v>
      </c>
      <c r="B98" s="6" t="s">
        <v>674</v>
      </c>
      <c r="C98" s="13">
        <v>2694</v>
      </c>
      <c r="D98" s="8" t="s">
        <v>675</v>
      </c>
      <c r="E98" s="8" t="s">
        <v>676</v>
      </c>
      <c r="F98" s="8" t="s">
        <v>677</v>
      </c>
      <c r="G98" s="6" t="s">
        <v>63</v>
      </c>
      <c r="H98" s="6" t="s">
        <v>64</v>
      </c>
      <c r="I98" s="8" t="s">
        <v>83</v>
      </c>
      <c r="J98" s="9">
        <v>1</v>
      </c>
      <c r="K98" s="9">
        <v>584</v>
      </c>
      <c r="L98" s="9">
        <v>2024</v>
      </c>
      <c r="M98" s="8" t="s">
        <v>678</v>
      </c>
      <c r="N98" s="8" t="s">
        <v>41</v>
      </c>
      <c r="O98" s="8" t="s">
        <v>97</v>
      </c>
      <c r="P98" s="6" t="s">
        <v>67</v>
      </c>
      <c r="Q98" s="8" t="s">
        <v>86</v>
      </c>
      <c r="R98" s="10" t="s">
        <v>679</v>
      </c>
      <c r="S98" s="11" t="s">
        <v>680</v>
      </c>
      <c r="T98" s="6"/>
      <c r="U98" s="28" t="str">
        <f>HYPERLINK("https://media.infra-m.ru/2084/2084387/cover/2084387.jpg", "Обложка")</f>
        <v>Обложка</v>
      </c>
      <c r="V98" s="28" t="str">
        <f>HYPERLINK("https://znanium.com/catalog/product/1937161", "Ознакомиться")</f>
        <v>Ознакомиться</v>
      </c>
      <c r="W98" s="8" t="s">
        <v>212</v>
      </c>
      <c r="X98" s="6"/>
      <c r="Y98" s="6"/>
      <c r="Z98" s="6"/>
      <c r="AA98" s="6" t="s">
        <v>681</v>
      </c>
    </row>
    <row r="99" spans="1:27" s="4" customFormat="1" ht="42" customHeight="1">
      <c r="A99" s="5">
        <v>0</v>
      </c>
      <c r="B99" s="6" t="s">
        <v>682</v>
      </c>
      <c r="C99" s="13">
        <v>2220</v>
      </c>
      <c r="D99" s="8" t="s">
        <v>683</v>
      </c>
      <c r="E99" s="8" t="s">
        <v>684</v>
      </c>
      <c r="F99" s="8" t="s">
        <v>602</v>
      </c>
      <c r="G99" s="6" t="s">
        <v>95</v>
      </c>
      <c r="H99" s="6" t="s">
        <v>347</v>
      </c>
      <c r="I99" s="8"/>
      <c r="J99" s="9">
        <v>1</v>
      </c>
      <c r="K99" s="9">
        <v>480</v>
      </c>
      <c r="L99" s="9">
        <v>2024</v>
      </c>
      <c r="M99" s="8" t="s">
        <v>685</v>
      </c>
      <c r="N99" s="8" t="s">
        <v>41</v>
      </c>
      <c r="O99" s="8" t="s">
        <v>97</v>
      </c>
      <c r="P99" s="6" t="s">
        <v>67</v>
      </c>
      <c r="Q99" s="8" t="s">
        <v>86</v>
      </c>
      <c r="R99" s="10" t="s">
        <v>686</v>
      </c>
      <c r="S99" s="11"/>
      <c r="T99" s="6"/>
      <c r="U99" s="28" t="str">
        <f>HYPERLINK("https://media.infra-m.ru/2047/2047077/cover/2047077.jpg", "Обложка")</f>
        <v>Обложка</v>
      </c>
      <c r="V99" s="28" t="str">
        <f>HYPERLINK("https://znanium.com/catalog/product/2047077", "Ознакомиться")</f>
        <v>Ознакомиться</v>
      </c>
      <c r="W99" s="8" t="s">
        <v>579</v>
      </c>
      <c r="X99" s="6"/>
      <c r="Y99" s="6"/>
      <c r="Z99" s="6"/>
      <c r="AA99" s="6" t="s">
        <v>687</v>
      </c>
    </row>
    <row r="100" spans="1:27" s="4" customFormat="1" ht="42" customHeight="1">
      <c r="A100" s="5">
        <v>0</v>
      </c>
      <c r="B100" s="6" t="s">
        <v>688</v>
      </c>
      <c r="C100" s="7">
        <v>840</v>
      </c>
      <c r="D100" s="8" t="s">
        <v>689</v>
      </c>
      <c r="E100" s="8" t="s">
        <v>690</v>
      </c>
      <c r="F100" s="8" t="s">
        <v>691</v>
      </c>
      <c r="G100" s="6" t="s">
        <v>95</v>
      </c>
      <c r="H100" s="6" t="s">
        <v>38</v>
      </c>
      <c r="I100" s="8"/>
      <c r="J100" s="9">
        <v>1</v>
      </c>
      <c r="K100" s="9">
        <v>288</v>
      </c>
      <c r="L100" s="9">
        <v>2018</v>
      </c>
      <c r="M100" s="8" t="s">
        <v>692</v>
      </c>
      <c r="N100" s="8" t="s">
        <v>41</v>
      </c>
      <c r="O100" s="8" t="s">
        <v>97</v>
      </c>
      <c r="P100" s="6" t="s">
        <v>54</v>
      </c>
      <c r="Q100" s="8" t="s">
        <v>86</v>
      </c>
      <c r="R100" s="10" t="s">
        <v>693</v>
      </c>
      <c r="S100" s="11"/>
      <c r="T100" s="6"/>
      <c r="U100" s="28" t="str">
        <f>HYPERLINK("https://media.infra-m.ru/0914/0914501/cover/914501.jpg", "Обложка")</f>
        <v>Обложка</v>
      </c>
      <c r="V100" s="28" t="str">
        <f>HYPERLINK("https://znanium.com/catalog/product/914501", "Ознакомиться")</f>
        <v>Ознакомиться</v>
      </c>
      <c r="W100" s="8" t="s">
        <v>694</v>
      </c>
      <c r="X100" s="6"/>
      <c r="Y100" s="6"/>
      <c r="Z100" s="6"/>
      <c r="AA100" s="6" t="s">
        <v>71</v>
      </c>
    </row>
    <row r="101" spans="1:27" s="4" customFormat="1" ht="51.95" customHeight="1">
      <c r="A101" s="5">
        <v>0</v>
      </c>
      <c r="B101" s="6" t="s">
        <v>695</v>
      </c>
      <c r="C101" s="13">
        <v>2164.9</v>
      </c>
      <c r="D101" s="8" t="s">
        <v>696</v>
      </c>
      <c r="E101" s="8" t="s">
        <v>697</v>
      </c>
      <c r="F101" s="8" t="s">
        <v>698</v>
      </c>
      <c r="G101" s="6" t="s">
        <v>95</v>
      </c>
      <c r="H101" s="6" t="s">
        <v>357</v>
      </c>
      <c r="I101" s="8" t="s">
        <v>83</v>
      </c>
      <c r="J101" s="9">
        <v>1</v>
      </c>
      <c r="K101" s="9">
        <v>480</v>
      </c>
      <c r="L101" s="9">
        <v>2023</v>
      </c>
      <c r="M101" s="8" t="s">
        <v>699</v>
      </c>
      <c r="N101" s="8" t="s">
        <v>41</v>
      </c>
      <c r="O101" s="8" t="s">
        <v>97</v>
      </c>
      <c r="P101" s="6" t="s">
        <v>54</v>
      </c>
      <c r="Q101" s="8" t="s">
        <v>86</v>
      </c>
      <c r="R101" s="10" t="s">
        <v>700</v>
      </c>
      <c r="S101" s="11" t="s">
        <v>701</v>
      </c>
      <c r="T101" s="6"/>
      <c r="U101" s="28" t="str">
        <f>HYPERLINK("https://media.infra-m.ru/1981/1981623/cover/1981623.jpg", "Обложка")</f>
        <v>Обложка</v>
      </c>
      <c r="V101" s="28" t="str">
        <f>HYPERLINK("https://znanium.com/catalog/product/1088081", "Ознакомиться")</f>
        <v>Ознакомиться</v>
      </c>
      <c r="W101" s="8" t="s">
        <v>110</v>
      </c>
      <c r="X101" s="6"/>
      <c r="Y101" s="6"/>
      <c r="Z101" s="6"/>
      <c r="AA101" s="6" t="s">
        <v>78</v>
      </c>
    </row>
    <row r="102" spans="1:27" s="4" customFormat="1" ht="51.95" customHeight="1">
      <c r="A102" s="5">
        <v>0</v>
      </c>
      <c r="B102" s="6" t="s">
        <v>702</v>
      </c>
      <c r="C102" s="13">
        <v>2200</v>
      </c>
      <c r="D102" s="8" t="s">
        <v>703</v>
      </c>
      <c r="E102" s="8" t="s">
        <v>697</v>
      </c>
      <c r="F102" s="8" t="s">
        <v>698</v>
      </c>
      <c r="G102" s="6" t="s">
        <v>95</v>
      </c>
      <c r="H102" s="6" t="s">
        <v>357</v>
      </c>
      <c r="I102" s="8" t="s">
        <v>192</v>
      </c>
      <c r="J102" s="9">
        <v>1</v>
      </c>
      <c r="K102" s="9">
        <v>479</v>
      </c>
      <c r="L102" s="9">
        <v>2024</v>
      </c>
      <c r="M102" s="8" t="s">
        <v>704</v>
      </c>
      <c r="N102" s="8" t="s">
        <v>41</v>
      </c>
      <c r="O102" s="8" t="s">
        <v>97</v>
      </c>
      <c r="P102" s="6" t="s">
        <v>54</v>
      </c>
      <c r="Q102" s="8" t="s">
        <v>194</v>
      </c>
      <c r="R102" s="10" t="s">
        <v>705</v>
      </c>
      <c r="S102" s="11" t="s">
        <v>706</v>
      </c>
      <c r="T102" s="6"/>
      <c r="U102" s="28" t="str">
        <f>HYPERLINK("https://media.infra-m.ru/2104/2104817/cover/2104817.jpg", "Обложка")</f>
        <v>Обложка</v>
      </c>
      <c r="V102" s="28" t="str">
        <f>HYPERLINK("https://znanium.com/catalog/product/2104817", "Ознакомиться")</f>
        <v>Ознакомиться</v>
      </c>
      <c r="W102" s="8" t="s">
        <v>110</v>
      </c>
      <c r="X102" s="6"/>
      <c r="Y102" s="6"/>
      <c r="Z102" s="6" t="s">
        <v>197</v>
      </c>
      <c r="AA102" s="6" t="s">
        <v>687</v>
      </c>
    </row>
    <row r="103" spans="1:27" s="4" customFormat="1" ht="51.95" customHeight="1">
      <c r="A103" s="5">
        <v>0</v>
      </c>
      <c r="B103" s="6" t="s">
        <v>707</v>
      </c>
      <c r="C103" s="7">
        <v>850</v>
      </c>
      <c r="D103" s="8" t="s">
        <v>708</v>
      </c>
      <c r="E103" s="8" t="s">
        <v>709</v>
      </c>
      <c r="F103" s="8" t="s">
        <v>265</v>
      </c>
      <c r="G103" s="6" t="s">
        <v>95</v>
      </c>
      <c r="H103" s="6" t="s">
        <v>64</v>
      </c>
      <c r="I103" s="8" t="s">
        <v>83</v>
      </c>
      <c r="J103" s="9">
        <v>1</v>
      </c>
      <c r="K103" s="9">
        <v>215</v>
      </c>
      <c r="L103" s="9">
        <v>2022</v>
      </c>
      <c r="M103" s="8" t="s">
        <v>710</v>
      </c>
      <c r="N103" s="8" t="s">
        <v>41</v>
      </c>
      <c r="O103" s="8" t="s">
        <v>97</v>
      </c>
      <c r="P103" s="6" t="s">
        <v>67</v>
      </c>
      <c r="Q103" s="8" t="s">
        <v>86</v>
      </c>
      <c r="R103" s="10" t="s">
        <v>711</v>
      </c>
      <c r="S103" s="11" t="s">
        <v>712</v>
      </c>
      <c r="T103" s="6"/>
      <c r="U103" s="28" t="str">
        <f>HYPERLINK("https://media.infra-m.ru/1171/1171922/cover/1171922.jpg", "Обложка")</f>
        <v>Обложка</v>
      </c>
      <c r="V103" s="28" t="str">
        <f>HYPERLINK("https://znanium.com/catalog/product/1171922", "Ознакомиться")</f>
        <v>Ознакомиться</v>
      </c>
      <c r="W103" s="8" t="s">
        <v>269</v>
      </c>
      <c r="X103" s="6"/>
      <c r="Y103" s="6"/>
      <c r="Z103" s="6"/>
      <c r="AA103" s="6" t="s">
        <v>58</v>
      </c>
    </row>
    <row r="104" spans="1:27" s="4" customFormat="1" ht="51.95" customHeight="1">
      <c r="A104" s="5">
        <v>0</v>
      </c>
      <c r="B104" s="6" t="s">
        <v>713</v>
      </c>
      <c r="C104" s="13">
        <v>1390</v>
      </c>
      <c r="D104" s="8" t="s">
        <v>714</v>
      </c>
      <c r="E104" s="8" t="s">
        <v>715</v>
      </c>
      <c r="F104" s="8" t="s">
        <v>716</v>
      </c>
      <c r="G104" s="6" t="s">
        <v>63</v>
      </c>
      <c r="H104" s="6" t="s">
        <v>125</v>
      </c>
      <c r="I104" s="8"/>
      <c r="J104" s="9">
        <v>1</v>
      </c>
      <c r="K104" s="9">
        <v>302</v>
      </c>
      <c r="L104" s="9">
        <v>2024</v>
      </c>
      <c r="M104" s="8" t="s">
        <v>717</v>
      </c>
      <c r="N104" s="8" t="s">
        <v>41</v>
      </c>
      <c r="O104" s="8" t="s">
        <v>97</v>
      </c>
      <c r="P104" s="6" t="s">
        <v>67</v>
      </c>
      <c r="Q104" s="8" t="s">
        <v>86</v>
      </c>
      <c r="R104" s="10" t="s">
        <v>718</v>
      </c>
      <c r="S104" s="11" t="s">
        <v>719</v>
      </c>
      <c r="T104" s="6"/>
      <c r="U104" s="28" t="str">
        <f>HYPERLINK("https://media.infra-m.ru/2087/2087276/cover/2087276.jpg", "Обложка")</f>
        <v>Обложка</v>
      </c>
      <c r="V104" s="28" t="str">
        <f>HYPERLINK("https://znanium.com/catalog/product/1078160", "Ознакомиться")</f>
        <v>Ознакомиться</v>
      </c>
      <c r="W104" s="8" t="s">
        <v>110</v>
      </c>
      <c r="X104" s="6"/>
      <c r="Y104" s="6"/>
      <c r="Z104" s="6"/>
      <c r="AA104" s="6" t="s">
        <v>90</v>
      </c>
    </row>
    <row r="105" spans="1:27" s="4" customFormat="1" ht="51.95" customHeight="1">
      <c r="A105" s="5">
        <v>0</v>
      </c>
      <c r="B105" s="6" t="s">
        <v>720</v>
      </c>
      <c r="C105" s="7">
        <v>714</v>
      </c>
      <c r="D105" s="8" t="s">
        <v>721</v>
      </c>
      <c r="E105" s="8" t="s">
        <v>722</v>
      </c>
      <c r="F105" s="8" t="s">
        <v>723</v>
      </c>
      <c r="G105" s="6" t="s">
        <v>95</v>
      </c>
      <c r="H105" s="6" t="s">
        <v>64</v>
      </c>
      <c r="I105" s="8" t="s">
        <v>83</v>
      </c>
      <c r="J105" s="9">
        <v>1</v>
      </c>
      <c r="K105" s="9">
        <v>156</v>
      </c>
      <c r="L105" s="9">
        <v>2024</v>
      </c>
      <c r="M105" s="8" t="s">
        <v>724</v>
      </c>
      <c r="N105" s="8" t="s">
        <v>41</v>
      </c>
      <c r="O105" s="8" t="s">
        <v>97</v>
      </c>
      <c r="P105" s="6" t="s">
        <v>54</v>
      </c>
      <c r="Q105" s="8" t="s">
        <v>86</v>
      </c>
      <c r="R105" s="10" t="s">
        <v>555</v>
      </c>
      <c r="S105" s="11" t="s">
        <v>725</v>
      </c>
      <c r="T105" s="6"/>
      <c r="U105" s="28" t="str">
        <f>HYPERLINK("https://media.infra-m.ru/2096/2096814/cover/2096814.jpg", "Обложка")</f>
        <v>Обложка</v>
      </c>
      <c r="V105" s="28" t="str">
        <f>HYPERLINK("https://znanium.com/catalog/product/960066", "Ознакомиться")</f>
        <v>Ознакомиться</v>
      </c>
      <c r="W105" s="8" t="s">
        <v>159</v>
      </c>
      <c r="X105" s="6"/>
      <c r="Y105" s="6"/>
      <c r="Z105" s="6"/>
      <c r="AA105" s="6" t="s">
        <v>90</v>
      </c>
    </row>
    <row r="106" spans="1:27" s="4" customFormat="1" ht="51.95" customHeight="1">
      <c r="A106" s="5">
        <v>0</v>
      </c>
      <c r="B106" s="6" t="s">
        <v>726</v>
      </c>
      <c r="C106" s="7">
        <v>910</v>
      </c>
      <c r="D106" s="8" t="s">
        <v>727</v>
      </c>
      <c r="E106" s="8" t="s">
        <v>728</v>
      </c>
      <c r="F106" s="8" t="s">
        <v>698</v>
      </c>
      <c r="G106" s="6" t="s">
        <v>95</v>
      </c>
      <c r="H106" s="6" t="s">
        <v>64</v>
      </c>
      <c r="I106" s="8" t="s">
        <v>132</v>
      </c>
      <c r="J106" s="9">
        <v>1</v>
      </c>
      <c r="K106" s="9">
        <v>198</v>
      </c>
      <c r="L106" s="9">
        <v>2023</v>
      </c>
      <c r="M106" s="8" t="s">
        <v>729</v>
      </c>
      <c r="N106" s="8" t="s">
        <v>41</v>
      </c>
      <c r="O106" s="8" t="s">
        <v>97</v>
      </c>
      <c r="P106" s="6" t="s">
        <v>54</v>
      </c>
      <c r="Q106" s="8" t="s">
        <v>86</v>
      </c>
      <c r="R106" s="10" t="s">
        <v>730</v>
      </c>
      <c r="S106" s="11" t="s">
        <v>701</v>
      </c>
      <c r="T106" s="6"/>
      <c r="U106" s="28" t="str">
        <f>HYPERLINK("https://media.infra-m.ru/1144/1144439/cover/1144439.jpg", "Обложка")</f>
        <v>Обложка</v>
      </c>
      <c r="V106" s="28" t="str">
        <f>HYPERLINK("https://znanium.com/catalog/product/1144439", "Ознакомиться")</f>
        <v>Ознакомиться</v>
      </c>
      <c r="W106" s="8" t="s">
        <v>110</v>
      </c>
      <c r="X106" s="6" t="s">
        <v>375</v>
      </c>
      <c r="Y106" s="6"/>
      <c r="Z106" s="6"/>
      <c r="AA106" s="6" t="s">
        <v>101</v>
      </c>
    </row>
    <row r="107" spans="1:27" s="4" customFormat="1" ht="51.95" customHeight="1">
      <c r="A107" s="5">
        <v>0</v>
      </c>
      <c r="B107" s="6" t="s">
        <v>731</v>
      </c>
      <c r="C107" s="13">
        <v>2130</v>
      </c>
      <c r="D107" s="8" t="s">
        <v>732</v>
      </c>
      <c r="E107" s="8" t="s">
        <v>733</v>
      </c>
      <c r="F107" s="8" t="s">
        <v>734</v>
      </c>
      <c r="G107" s="6" t="s">
        <v>63</v>
      </c>
      <c r="H107" s="6" t="s">
        <v>64</v>
      </c>
      <c r="I107" s="8" t="s">
        <v>83</v>
      </c>
      <c r="J107" s="9">
        <v>1</v>
      </c>
      <c r="K107" s="9">
        <v>472</v>
      </c>
      <c r="L107" s="9">
        <v>2023</v>
      </c>
      <c r="M107" s="8" t="s">
        <v>735</v>
      </c>
      <c r="N107" s="8" t="s">
        <v>41</v>
      </c>
      <c r="O107" s="8" t="s">
        <v>97</v>
      </c>
      <c r="P107" s="6" t="s">
        <v>67</v>
      </c>
      <c r="Q107" s="8" t="s">
        <v>86</v>
      </c>
      <c r="R107" s="10" t="s">
        <v>555</v>
      </c>
      <c r="S107" s="11" t="s">
        <v>736</v>
      </c>
      <c r="T107" s="6" t="s">
        <v>144</v>
      </c>
      <c r="U107" s="28" t="str">
        <f>HYPERLINK("https://media.infra-m.ru/1895/1895653/cover/1895653.jpg", "Обложка")</f>
        <v>Обложка</v>
      </c>
      <c r="V107" s="28" t="str">
        <f>HYPERLINK("https://znanium.com/catalog/product/1895653", "Ознакомиться")</f>
        <v>Ознакомиться</v>
      </c>
      <c r="W107" s="8" t="s">
        <v>737</v>
      </c>
      <c r="X107" s="6"/>
      <c r="Y107" s="6"/>
      <c r="Z107" s="6"/>
      <c r="AA107" s="6" t="s">
        <v>738</v>
      </c>
    </row>
    <row r="108" spans="1:27" s="4" customFormat="1" ht="51.95" customHeight="1">
      <c r="A108" s="5">
        <v>0</v>
      </c>
      <c r="B108" s="6" t="s">
        <v>739</v>
      </c>
      <c r="C108" s="13">
        <v>1264</v>
      </c>
      <c r="D108" s="8" t="s">
        <v>740</v>
      </c>
      <c r="E108" s="8" t="s">
        <v>733</v>
      </c>
      <c r="F108" s="8" t="s">
        <v>741</v>
      </c>
      <c r="G108" s="6" t="s">
        <v>63</v>
      </c>
      <c r="H108" s="6" t="s">
        <v>64</v>
      </c>
      <c r="I108" s="8" t="s">
        <v>83</v>
      </c>
      <c r="J108" s="9">
        <v>1</v>
      </c>
      <c r="K108" s="9">
        <v>274</v>
      </c>
      <c r="L108" s="9">
        <v>2023</v>
      </c>
      <c r="M108" s="8" t="s">
        <v>742</v>
      </c>
      <c r="N108" s="8" t="s">
        <v>41</v>
      </c>
      <c r="O108" s="8" t="s">
        <v>97</v>
      </c>
      <c r="P108" s="6" t="s">
        <v>67</v>
      </c>
      <c r="Q108" s="8" t="s">
        <v>86</v>
      </c>
      <c r="R108" s="10" t="s">
        <v>743</v>
      </c>
      <c r="S108" s="11" t="s">
        <v>744</v>
      </c>
      <c r="T108" s="6" t="s">
        <v>144</v>
      </c>
      <c r="U108" s="28" t="str">
        <f>HYPERLINK("https://media.infra-m.ru/1911/1911800/cover/1911800.jpg", "Обложка")</f>
        <v>Обложка</v>
      </c>
      <c r="V108" s="28" t="str">
        <f>HYPERLINK("https://znanium.com/catalog/product/1053670", "Ознакомиться")</f>
        <v>Ознакомиться</v>
      </c>
      <c r="W108" s="8" t="s">
        <v>571</v>
      </c>
      <c r="X108" s="6"/>
      <c r="Y108" s="6"/>
      <c r="Z108" s="6"/>
      <c r="AA108" s="6" t="s">
        <v>738</v>
      </c>
    </row>
    <row r="109" spans="1:27" s="4" customFormat="1" ht="51.95" customHeight="1">
      <c r="A109" s="5">
        <v>0</v>
      </c>
      <c r="B109" s="6" t="s">
        <v>745</v>
      </c>
      <c r="C109" s="7">
        <v>874.9</v>
      </c>
      <c r="D109" s="8" t="s">
        <v>746</v>
      </c>
      <c r="E109" s="8" t="s">
        <v>747</v>
      </c>
      <c r="F109" s="8" t="s">
        <v>741</v>
      </c>
      <c r="G109" s="6" t="s">
        <v>95</v>
      </c>
      <c r="H109" s="6" t="s">
        <v>64</v>
      </c>
      <c r="I109" s="8" t="s">
        <v>83</v>
      </c>
      <c r="J109" s="9">
        <v>1</v>
      </c>
      <c r="K109" s="9">
        <v>258</v>
      </c>
      <c r="L109" s="9">
        <v>2019</v>
      </c>
      <c r="M109" s="8" t="s">
        <v>748</v>
      </c>
      <c r="N109" s="8" t="s">
        <v>41</v>
      </c>
      <c r="O109" s="8" t="s">
        <v>97</v>
      </c>
      <c r="P109" s="6" t="s">
        <v>67</v>
      </c>
      <c r="Q109" s="8" t="s">
        <v>86</v>
      </c>
      <c r="R109" s="10" t="s">
        <v>743</v>
      </c>
      <c r="S109" s="11" t="s">
        <v>749</v>
      </c>
      <c r="T109" s="6" t="s">
        <v>144</v>
      </c>
      <c r="U109" s="28" t="str">
        <f>HYPERLINK("https://media.infra-m.ru/1053/1053668/cover/1053668.jpg", "Обложка")</f>
        <v>Обложка</v>
      </c>
      <c r="V109" s="28" t="str">
        <f>HYPERLINK("https://znanium.com/catalog/product/1053670", "Ознакомиться")</f>
        <v>Ознакомиться</v>
      </c>
      <c r="W109" s="8" t="s">
        <v>571</v>
      </c>
      <c r="X109" s="6"/>
      <c r="Y109" s="6"/>
      <c r="Z109" s="6"/>
      <c r="AA109" s="6" t="s">
        <v>493</v>
      </c>
    </row>
    <row r="110" spans="1:27" s="4" customFormat="1" ht="51.95" customHeight="1">
      <c r="A110" s="5">
        <v>0</v>
      </c>
      <c r="B110" s="6" t="s">
        <v>750</v>
      </c>
      <c r="C110" s="13">
        <v>1290</v>
      </c>
      <c r="D110" s="8" t="s">
        <v>751</v>
      </c>
      <c r="E110" s="8" t="s">
        <v>752</v>
      </c>
      <c r="F110" s="8" t="s">
        <v>753</v>
      </c>
      <c r="G110" s="6" t="s">
        <v>95</v>
      </c>
      <c r="H110" s="6" t="s">
        <v>38</v>
      </c>
      <c r="I110" s="8" t="s">
        <v>83</v>
      </c>
      <c r="J110" s="9">
        <v>1</v>
      </c>
      <c r="K110" s="9">
        <v>478</v>
      </c>
      <c r="L110" s="9">
        <v>2018</v>
      </c>
      <c r="M110" s="8" t="s">
        <v>754</v>
      </c>
      <c r="N110" s="8" t="s">
        <v>41</v>
      </c>
      <c r="O110" s="8" t="s">
        <v>97</v>
      </c>
      <c r="P110" s="6" t="s">
        <v>67</v>
      </c>
      <c r="Q110" s="8" t="s">
        <v>86</v>
      </c>
      <c r="R110" s="10" t="s">
        <v>755</v>
      </c>
      <c r="S110" s="11"/>
      <c r="T110" s="6"/>
      <c r="U110" s="28" t="str">
        <f>HYPERLINK("https://media.infra-m.ru/0962/0962130/cover/962130.jpg", "Обложка")</f>
        <v>Обложка</v>
      </c>
      <c r="V110" s="28" t="str">
        <f>HYPERLINK("https://znanium.com/catalog/product/962130", "Ознакомиться")</f>
        <v>Ознакомиться</v>
      </c>
      <c r="W110" s="8" t="s">
        <v>756</v>
      </c>
      <c r="X110" s="6"/>
      <c r="Y110" s="6"/>
      <c r="Z110" s="6"/>
      <c r="AA110" s="6" t="s">
        <v>206</v>
      </c>
    </row>
    <row r="111" spans="1:27" s="4" customFormat="1" ht="51.95" customHeight="1">
      <c r="A111" s="5">
        <v>0</v>
      </c>
      <c r="B111" s="6" t="s">
        <v>757</v>
      </c>
      <c r="C111" s="13">
        <v>1280</v>
      </c>
      <c r="D111" s="8" t="s">
        <v>758</v>
      </c>
      <c r="E111" s="8" t="s">
        <v>752</v>
      </c>
      <c r="F111" s="8" t="s">
        <v>759</v>
      </c>
      <c r="G111" s="6" t="s">
        <v>95</v>
      </c>
      <c r="H111" s="6" t="s">
        <v>64</v>
      </c>
      <c r="I111" s="8" t="s">
        <v>192</v>
      </c>
      <c r="J111" s="9">
        <v>1</v>
      </c>
      <c r="K111" s="9">
        <v>355</v>
      </c>
      <c r="L111" s="9">
        <v>2021</v>
      </c>
      <c r="M111" s="8" t="s">
        <v>760</v>
      </c>
      <c r="N111" s="8" t="s">
        <v>41</v>
      </c>
      <c r="O111" s="8" t="s">
        <v>97</v>
      </c>
      <c r="P111" s="6" t="s">
        <v>67</v>
      </c>
      <c r="Q111" s="8" t="s">
        <v>194</v>
      </c>
      <c r="R111" s="10" t="s">
        <v>761</v>
      </c>
      <c r="S111" s="11" t="s">
        <v>762</v>
      </c>
      <c r="T111" s="6"/>
      <c r="U111" s="28" t="str">
        <f>HYPERLINK("https://media.infra-m.ru/1079/1079194/cover/1079194.jpg", "Обложка")</f>
        <v>Обложка</v>
      </c>
      <c r="V111" s="28" t="str">
        <f>HYPERLINK("https://znanium.com/catalog/product/1079194", "Ознакомиться")</f>
        <v>Ознакомиться</v>
      </c>
      <c r="W111" s="8" t="s">
        <v>763</v>
      </c>
      <c r="X111" s="6"/>
      <c r="Y111" s="6"/>
      <c r="Z111" s="6" t="s">
        <v>197</v>
      </c>
      <c r="AA111" s="6" t="s">
        <v>58</v>
      </c>
    </row>
    <row r="112" spans="1:27" s="4" customFormat="1" ht="51.95" customHeight="1">
      <c r="A112" s="5">
        <v>0</v>
      </c>
      <c r="B112" s="6" t="s">
        <v>764</v>
      </c>
      <c r="C112" s="13">
        <v>1594.9</v>
      </c>
      <c r="D112" s="8" t="s">
        <v>765</v>
      </c>
      <c r="E112" s="8" t="s">
        <v>752</v>
      </c>
      <c r="F112" s="8" t="s">
        <v>759</v>
      </c>
      <c r="G112" s="6" t="s">
        <v>63</v>
      </c>
      <c r="H112" s="6" t="s">
        <v>64</v>
      </c>
      <c r="I112" s="8" t="s">
        <v>83</v>
      </c>
      <c r="J112" s="9">
        <v>1</v>
      </c>
      <c r="K112" s="9">
        <v>355</v>
      </c>
      <c r="L112" s="9">
        <v>2023</v>
      </c>
      <c r="M112" s="8" t="s">
        <v>766</v>
      </c>
      <c r="N112" s="8" t="s">
        <v>41</v>
      </c>
      <c r="O112" s="8" t="s">
        <v>97</v>
      </c>
      <c r="P112" s="6" t="s">
        <v>67</v>
      </c>
      <c r="Q112" s="8" t="s">
        <v>86</v>
      </c>
      <c r="R112" s="10" t="s">
        <v>767</v>
      </c>
      <c r="S112" s="11" t="s">
        <v>143</v>
      </c>
      <c r="T112" s="6"/>
      <c r="U112" s="28" t="str">
        <f>HYPERLINK("https://media.infra-m.ru/2006/2006824/cover/2006824.jpg", "Обложка")</f>
        <v>Обложка</v>
      </c>
      <c r="V112" s="28" t="str">
        <f>HYPERLINK("https://znanium.com/catalog/product/1210074", "Ознакомиться")</f>
        <v>Ознакомиться</v>
      </c>
      <c r="W112" s="8" t="s">
        <v>763</v>
      </c>
      <c r="X112" s="6"/>
      <c r="Y112" s="6"/>
      <c r="Z112" s="6"/>
      <c r="AA112" s="6" t="s">
        <v>166</v>
      </c>
    </row>
    <row r="113" spans="1:27" s="4" customFormat="1" ht="42" customHeight="1">
      <c r="A113" s="5">
        <v>0</v>
      </c>
      <c r="B113" s="6" t="s">
        <v>768</v>
      </c>
      <c r="C113" s="7">
        <v>874.9</v>
      </c>
      <c r="D113" s="8" t="s">
        <v>769</v>
      </c>
      <c r="E113" s="8" t="s">
        <v>752</v>
      </c>
      <c r="F113" s="8" t="s">
        <v>770</v>
      </c>
      <c r="G113" s="6" t="s">
        <v>95</v>
      </c>
      <c r="H113" s="6" t="s">
        <v>38</v>
      </c>
      <c r="I113" s="8" t="s">
        <v>83</v>
      </c>
      <c r="J113" s="9">
        <v>1</v>
      </c>
      <c r="K113" s="9">
        <v>256</v>
      </c>
      <c r="L113" s="9">
        <v>2020</v>
      </c>
      <c r="M113" s="8" t="s">
        <v>771</v>
      </c>
      <c r="N113" s="8" t="s">
        <v>41</v>
      </c>
      <c r="O113" s="8" t="s">
        <v>97</v>
      </c>
      <c r="P113" s="6" t="s">
        <v>67</v>
      </c>
      <c r="Q113" s="8" t="s">
        <v>86</v>
      </c>
      <c r="R113" s="10" t="s">
        <v>772</v>
      </c>
      <c r="S113" s="11"/>
      <c r="T113" s="6"/>
      <c r="U113" s="28" t="str">
        <f>HYPERLINK("https://media.infra-m.ru/1085/1085312/cover/1085312.jpg", "Обложка")</f>
        <v>Обложка</v>
      </c>
      <c r="V113" s="28" t="str">
        <f>HYPERLINK("https://znanium.com/catalog/product/926493", "Ознакомиться")</f>
        <v>Ознакомиться</v>
      </c>
      <c r="W113" s="8" t="s">
        <v>352</v>
      </c>
      <c r="X113" s="6"/>
      <c r="Y113" s="6"/>
      <c r="Z113" s="6"/>
      <c r="AA113" s="6" t="s">
        <v>78</v>
      </c>
    </row>
    <row r="114" spans="1:27" s="4" customFormat="1" ht="51.95" customHeight="1">
      <c r="A114" s="5">
        <v>0</v>
      </c>
      <c r="B114" s="6" t="s">
        <v>773</v>
      </c>
      <c r="C114" s="13">
        <v>1144.9000000000001</v>
      </c>
      <c r="D114" s="8" t="s">
        <v>774</v>
      </c>
      <c r="E114" s="8" t="s">
        <v>752</v>
      </c>
      <c r="F114" s="8" t="s">
        <v>775</v>
      </c>
      <c r="G114" s="6" t="s">
        <v>95</v>
      </c>
      <c r="H114" s="6" t="s">
        <v>64</v>
      </c>
      <c r="I114" s="8" t="s">
        <v>83</v>
      </c>
      <c r="J114" s="9">
        <v>1</v>
      </c>
      <c r="K114" s="9">
        <v>336</v>
      </c>
      <c r="L114" s="9">
        <v>2020</v>
      </c>
      <c r="M114" s="8" t="s">
        <v>776</v>
      </c>
      <c r="N114" s="8" t="s">
        <v>41</v>
      </c>
      <c r="O114" s="8" t="s">
        <v>97</v>
      </c>
      <c r="P114" s="6" t="s">
        <v>54</v>
      </c>
      <c r="Q114" s="8" t="s">
        <v>86</v>
      </c>
      <c r="R114" s="10" t="s">
        <v>777</v>
      </c>
      <c r="S114" s="11" t="s">
        <v>778</v>
      </c>
      <c r="T114" s="6"/>
      <c r="U114" s="28" t="str">
        <f>HYPERLINK("https://media.infra-m.ru/1081/1081134/cover/1081134.jpg", "Обложка")</f>
        <v>Обложка</v>
      </c>
      <c r="V114" s="28" t="str">
        <f>HYPERLINK("https://znanium.com/catalog/product/1867627", "Ознакомиться")</f>
        <v>Ознакомиться</v>
      </c>
      <c r="W114" s="8" t="s">
        <v>159</v>
      </c>
      <c r="X114" s="6"/>
      <c r="Y114" s="6"/>
      <c r="Z114" s="6"/>
      <c r="AA114" s="6" t="s">
        <v>90</v>
      </c>
    </row>
    <row r="115" spans="1:27" s="4" customFormat="1" ht="42" customHeight="1">
      <c r="A115" s="5">
        <v>0</v>
      </c>
      <c r="B115" s="6" t="s">
        <v>779</v>
      </c>
      <c r="C115" s="7">
        <v>994.9</v>
      </c>
      <c r="D115" s="8" t="s">
        <v>780</v>
      </c>
      <c r="E115" s="8" t="s">
        <v>752</v>
      </c>
      <c r="F115" s="8" t="s">
        <v>781</v>
      </c>
      <c r="G115" s="6" t="s">
        <v>95</v>
      </c>
      <c r="H115" s="6" t="s">
        <v>347</v>
      </c>
      <c r="I115" s="8" t="s">
        <v>390</v>
      </c>
      <c r="J115" s="9">
        <v>10</v>
      </c>
      <c r="K115" s="9">
        <v>576</v>
      </c>
      <c r="L115" s="9">
        <v>2016</v>
      </c>
      <c r="M115" s="8" t="s">
        <v>782</v>
      </c>
      <c r="N115" s="8" t="s">
        <v>41</v>
      </c>
      <c r="O115" s="8" t="s">
        <v>97</v>
      </c>
      <c r="P115" s="6" t="s">
        <v>54</v>
      </c>
      <c r="Q115" s="8" t="s">
        <v>86</v>
      </c>
      <c r="R115" s="10" t="s">
        <v>555</v>
      </c>
      <c r="S115" s="11"/>
      <c r="T115" s="6"/>
      <c r="U115" s="28" t="str">
        <f>HYPERLINK("https://media.infra-m.ru/0521/0521822/cover/521822.jpg", "Обложка")</f>
        <v>Обложка</v>
      </c>
      <c r="V115" s="28" t="str">
        <f>HYPERLINK("https://znanium.com/catalog/product/521822", "Ознакомиться")</f>
        <v>Ознакомиться</v>
      </c>
      <c r="W115" s="8"/>
      <c r="X115" s="6"/>
      <c r="Y115" s="6"/>
      <c r="Z115" s="6"/>
      <c r="AA115" s="6" t="s">
        <v>90</v>
      </c>
    </row>
    <row r="116" spans="1:27" s="4" customFormat="1" ht="51.95" customHeight="1">
      <c r="A116" s="5">
        <v>0</v>
      </c>
      <c r="B116" s="6" t="s">
        <v>783</v>
      </c>
      <c r="C116" s="13">
        <v>1990</v>
      </c>
      <c r="D116" s="8" t="s">
        <v>784</v>
      </c>
      <c r="E116" s="8" t="s">
        <v>747</v>
      </c>
      <c r="F116" s="8" t="s">
        <v>155</v>
      </c>
      <c r="G116" s="6" t="s">
        <v>95</v>
      </c>
      <c r="H116" s="6" t="s">
        <v>64</v>
      </c>
      <c r="I116" s="8" t="s">
        <v>83</v>
      </c>
      <c r="J116" s="9">
        <v>1</v>
      </c>
      <c r="K116" s="9">
        <v>358</v>
      </c>
      <c r="L116" s="9">
        <v>2022</v>
      </c>
      <c r="M116" s="8" t="s">
        <v>785</v>
      </c>
      <c r="N116" s="8" t="s">
        <v>41</v>
      </c>
      <c r="O116" s="8" t="s">
        <v>97</v>
      </c>
      <c r="P116" s="6" t="s">
        <v>54</v>
      </c>
      <c r="Q116" s="8" t="s">
        <v>86</v>
      </c>
      <c r="R116" s="10" t="s">
        <v>777</v>
      </c>
      <c r="S116" s="11" t="s">
        <v>786</v>
      </c>
      <c r="T116" s="6" t="s">
        <v>144</v>
      </c>
      <c r="U116" s="28" t="str">
        <f>HYPERLINK("https://media.infra-m.ru/1867/1867627/cover/1867627.jpg", "Обложка")</f>
        <v>Обложка</v>
      </c>
      <c r="V116" s="28" t="str">
        <f>HYPERLINK("https://znanium.com/catalog/product/1867627", "Ознакомиться")</f>
        <v>Ознакомиться</v>
      </c>
      <c r="W116" s="8" t="s">
        <v>159</v>
      </c>
      <c r="X116" s="6"/>
      <c r="Y116" s="6"/>
      <c r="Z116" s="6"/>
      <c r="AA116" s="6" t="s">
        <v>299</v>
      </c>
    </row>
    <row r="117" spans="1:27" s="4" customFormat="1" ht="51.95" customHeight="1">
      <c r="A117" s="5">
        <v>0</v>
      </c>
      <c r="B117" s="6" t="s">
        <v>787</v>
      </c>
      <c r="C117" s="13">
        <v>1560</v>
      </c>
      <c r="D117" s="8" t="s">
        <v>788</v>
      </c>
      <c r="E117" s="8" t="s">
        <v>747</v>
      </c>
      <c r="F117" s="8" t="s">
        <v>789</v>
      </c>
      <c r="G117" s="6" t="s">
        <v>95</v>
      </c>
      <c r="H117" s="6" t="s">
        <v>38</v>
      </c>
      <c r="I117" s="8"/>
      <c r="J117" s="9">
        <v>1</v>
      </c>
      <c r="K117" s="9">
        <v>488</v>
      </c>
      <c r="L117" s="9">
        <v>2019</v>
      </c>
      <c r="M117" s="8" t="s">
        <v>790</v>
      </c>
      <c r="N117" s="8" t="s">
        <v>41</v>
      </c>
      <c r="O117" s="8" t="s">
        <v>97</v>
      </c>
      <c r="P117" s="6" t="s">
        <v>67</v>
      </c>
      <c r="Q117" s="8" t="s">
        <v>86</v>
      </c>
      <c r="R117" s="10" t="s">
        <v>755</v>
      </c>
      <c r="S117" s="11"/>
      <c r="T117" s="6"/>
      <c r="U117" s="28" t="str">
        <f>HYPERLINK("https://media.infra-m.ru/0988/0988026/cover/988026.jpg", "Обложка")</f>
        <v>Обложка</v>
      </c>
      <c r="V117" s="28" t="str">
        <f>HYPERLINK("https://znanium.com/catalog/product/962130", "Ознакомиться")</f>
        <v>Ознакомиться</v>
      </c>
      <c r="W117" s="8" t="s">
        <v>756</v>
      </c>
      <c r="X117" s="6"/>
      <c r="Y117" s="6"/>
      <c r="Z117" s="6"/>
      <c r="AA117" s="6" t="s">
        <v>244</v>
      </c>
    </row>
    <row r="118" spans="1:27" s="4" customFormat="1" ht="44.1" customHeight="1">
      <c r="A118" s="5">
        <v>0</v>
      </c>
      <c r="B118" s="6" t="s">
        <v>791</v>
      </c>
      <c r="C118" s="7">
        <v>664.9</v>
      </c>
      <c r="D118" s="8" t="s">
        <v>792</v>
      </c>
      <c r="E118" s="8" t="s">
        <v>752</v>
      </c>
      <c r="F118" s="8" t="s">
        <v>793</v>
      </c>
      <c r="G118" s="6" t="s">
        <v>37</v>
      </c>
      <c r="H118" s="6" t="s">
        <v>38</v>
      </c>
      <c r="I118" s="8" t="s">
        <v>83</v>
      </c>
      <c r="J118" s="9">
        <v>1</v>
      </c>
      <c r="K118" s="9">
        <v>248</v>
      </c>
      <c r="L118" s="9">
        <v>2017</v>
      </c>
      <c r="M118" s="8" t="s">
        <v>794</v>
      </c>
      <c r="N118" s="8" t="s">
        <v>41</v>
      </c>
      <c r="O118" s="8" t="s">
        <v>97</v>
      </c>
      <c r="P118" s="6" t="s">
        <v>54</v>
      </c>
      <c r="Q118" s="8" t="s">
        <v>86</v>
      </c>
      <c r="R118" s="10" t="s">
        <v>795</v>
      </c>
      <c r="S118" s="11"/>
      <c r="T118" s="6"/>
      <c r="U118" s="28" t="str">
        <f>HYPERLINK("https://media.infra-m.ru/0926/0926485/cover/926485.jpg", "Обложка")</f>
        <v>Обложка</v>
      </c>
      <c r="V118" s="28" t="str">
        <f>HYPERLINK("https://znanium.com/catalog/product/525368", "Ознакомиться")</f>
        <v>Ознакомиться</v>
      </c>
      <c r="W118" s="8" t="s">
        <v>796</v>
      </c>
      <c r="X118" s="6"/>
      <c r="Y118" s="6"/>
      <c r="Z118" s="6"/>
      <c r="AA118" s="6" t="s">
        <v>78</v>
      </c>
    </row>
    <row r="119" spans="1:27" s="4" customFormat="1" ht="51.95" customHeight="1">
      <c r="A119" s="5">
        <v>0</v>
      </c>
      <c r="B119" s="6" t="s">
        <v>797</v>
      </c>
      <c r="C119" s="13">
        <v>1874</v>
      </c>
      <c r="D119" s="8" t="s">
        <v>798</v>
      </c>
      <c r="E119" s="8" t="s">
        <v>799</v>
      </c>
      <c r="F119" s="8" t="s">
        <v>800</v>
      </c>
      <c r="G119" s="6" t="s">
        <v>95</v>
      </c>
      <c r="H119" s="6" t="s">
        <v>64</v>
      </c>
      <c r="I119" s="8" t="s">
        <v>83</v>
      </c>
      <c r="J119" s="9">
        <v>1</v>
      </c>
      <c r="K119" s="9">
        <v>407</v>
      </c>
      <c r="L119" s="9">
        <v>2024</v>
      </c>
      <c r="M119" s="8" t="s">
        <v>801</v>
      </c>
      <c r="N119" s="8" t="s">
        <v>41</v>
      </c>
      <c r="O119" s="8" t="s">
        <v>97</v>
      </c>
      <c r="P119" s="6" t="s">
        <v>54</v>
      </c>
      <c r="Q119" s="8" t="s">
        <v>86</v>
      </c>
      <c r="R119" s="10" t="s">
        <v>802</v>
      </c>
      <c r="S119" s="11"/>
      <c r="T119" s="6" t="s">
        <v>144</v>
      </c>
      <c r="U119" s="28" t="str">
        <f>HYPERLINK("https://media.infra-m.ru/2091/2091893/cover/2091893.jpg", "Обложка")</f>
        <v>Обложка</v>
      </c>
      <c r="V119" s="28" t="str">
        <f>HYPERLINK("https://znanium.com/catalog/product/925832", "Ознакомиться")</f>
        <v>Ознакомиться</v>
      </c>
      <c r="W119" s="8" t="s">
        <v>159</v>
      </c>
      <c r="X119" s="6"/>
      <c r="Y119" s="6"/>
      <c r="Z119" s="6"/>
      <c r="AA119" s="6" t="s">
        <v>78</v>
      </c>
    </row>
    <row r="120" spans="1:27" s="4" customFormat="1" ht="51.95" customHeight="1">
      <c r="A120" s="5">
        <v>0</v>
      </c>
      <c r="B120" s="6" t="s">
        <v>803</v>
      </c>
      <c r="C120" s="13">
        <v>1890</v>
      </c>
      <c r="D120" s="8" t="s">
        <v>804</v>
      </c>
      <c r="E120" s="8" t="s">
        <v>805</v>
      </c>
      <c r="F120" s="8" t="s">
        <v>806</v>
      </c>
      <c r="G120" s="6" t="s">
        <v>63</v>
      </c>
      <c r="H120" s="6" t="s">
        <v>64</v>
      </c>
      <c r="I120" s="8" t="s">
        <v>185</v>
      </c>
      <c r="J120" s="9">
        <v>1</v>
      </c>
      <c r="K120" s="9">
        <v>420</v>
      </c>
      <c r="L120" s="9">
        <v>2023</v>
      </c>
      <c r="M120" s="8" t="s">
        <v>807</v>
      </c>
      <c r="N120" s="8" t="s">
        <v>41</v>
      </c>
      <c r="O120" s="8" t="s">
        <v>97</v>
      </c>
      <c r="P120" s="6" t="s">
        <v>67</v>
      </c>
      <c r="Q120" s="8" t="s">
        <v>86</v>
      </c>
      <c r="R120" s="10" t="s">
        <v>808</v>
      </c>
      <c r="S120" s="11" t="s">
        <v>809</v>
      </c>
      <c r="T120" s="6" t="s">
        <v>144</v>
      </c>
      <c r="U120" s="28" t="str">
        <f>HYPERLINK("https://media.infra-m.ru/2006/2006921/cover/2006921.jpg", "Обложка")</f>
        <v>Обложка</v>
      </c>
      <c r="V120" s="28" t="str">
        <f>HYPERLINK("https://znanium.com/catalog/product/2006921", "Ознакомиться")</f>
        <v>Ознакомиться</v>
      </c>
      <c r="W120" s="8" t="s">
        <v>476</v>
      </c>
      <c r="X120" s="6"/>
      <c r="Y120" s="6"/>
      <c r="Z120" s="6"/>
      <c r="AA120" s="6" t="s">
        <v>810</v>
      </c>
    </row>
    <row r="121" spans="1:27" s="4" customFormat="1" ht="42" customHeight="1">
      <c r="A121" s="5">
        <v>0</v>
      </c>
      <c r="B121" s="6" t="s">
        <v>811</v>
      </c>
      <c r="C121" s="7">
        <v>844</v>
      </c>
      <c r="D121" s="8" t="s">
        <v>812</v>
      </c>
      <c r="E121" s="8" t="s">
        <v>813</v>
      </c>
      <c r="F121" s="8" t="s">
        <v>814</v>
      </c>
      <c r="G121" s="6" t="s">
        <v>95</v>
      </c>
      <c r="H121" s="6" t="s">
        <v>347</v>
      </c>
      <c r="I121" s="8"/>
      <c r="J121" s="9">
        <v>1</v>
      </c>
      <c r="K121" s="9">
        <v>184</v>
      </c>
      <c r="L121" s="9">
        <v>2024</v>
      </c>
      <c r="M121" s="8" t="s">
        <v>815</v>
      </c>
      <c r="N121" s="8" t="s">
        <v>41</v>
      </c>
      <c r="O121" s="8" t="s">
        <v>97</v>
      </c>
      <c r="P121" s="6" t="s">
        <v>54</v>
      </c>
      <c r="Q121" s="8" t="s">
        <v>86</v>
      </c>
      <c r="R121" s="10" t="s">
        <v>373</v>
      </c>
      <c r="S121" s="11"/>
      <c r="T121" s="6"/>
      <c r="U121" s="28" t="str">
        <f>HYPERLINK("https://media.infra-m.ru/2093/2093922/cover/2093922.jpg", "Обложка")</f>
        <v>Обложка</v>
      </c>
      <c r="V121" s="28" t="str">
        <f>HYPERLINK("https://znanium.com/catalog/product/1813745", "Ознакомиться")</f>
        <v>Ознакомиться</v>
      </c>
      <c r="W121" s="8" t="s">
        <v>816</v>
      </c>
      <c r="X121" s="6"/>
      <c r="Y121" s="6"/>
      <c r="Z121" s="6"/>
      <c r="AA121" s="6" t="s">
        <v>58</v>
      </c>
    </row>
    <row r="122" spans="1:27" s="4" customFormat="1" ht="42" customHeight="1">
      <c r="A122" s="5">
        <v>0</v>
      </c>
      <c r="B122" s="6" t="s">
        <v>817</v>
      </c>
      <c r="C122" s="13">
        <v>1710</v>
      </c>
      <c r="D122" s="8" t="s">
        <v>818</v>
      </c>
      <c r="E122" s="8" t="s">
        <v>819</v>
      </c>
      <c r="F122" s="8" t="s">
        <v>820</v>
      </c>
      <c r="G122" s="6" t="s">
        <v>63</v>
      </c>
      <c r="H122" s="6" t="s">
        <v>38</v>
      </c>
      <c r="I122" s="8"/>
      <c r="J122" s="9">
        <v>1</v>
      </c>
      <c r="K122" s="9">
        <v>450</v>
      </c>
      <c r="L122" s="9">
        <v>2022</v>
      </c>
      <c r="M122" s="8" t="s">
        <v>821</v>
      </c>
      <c r="N122" s="8" t="s">
        <v>41</v>
      </c>
      <c r="O122" s="8" t="s">
        <v>97</v>
      </c>
      <c r="P122" s="6" t="s">
        <v>54</v>
      </c>
      <c r="Q122" s="8" t="s">
        <v>86</v>
      </c>
      <c r="R122" s="10" t="s">
        <v>555</v>
      </c>
      <c r="S122" s="11"/>
      <c r="T122" s="6"/>
      <c r="U122" s="28" t="str">
        <f>HYPERLINK("https://media.infra-m.ru/1862/1862379/cover/1862379.jpg", "Обложка")</f>
        <v>Обложка</v>
      </c>
      <c r="V122" s="28" t="str">
        <f>HYPERLINK("https://znanium.com/catalog/product/1862379", "Ознакомиться")</f>
        <v>Ознакомиться</v>
      </c>
      <c r="W122" s="8" t="s">
        <v>284</v>
      </c>
      <c r="X122" s="6"/>
      <c r="Y122" s="6"/>
      <c r="Z122" s="6"/>
      <c r="AA122" s="6" t="s">
        <v>71</v>
      </c>
    </row>
    <row r="123" spans="1:27" s="4" customFormat="1" ht="44.1" customHeight="1">
      <c r="A123" s="5">
        <v>0</v>
      </c>
      <c r="B123" s="6" t="s">
        <v>822</v>
      </c>
      <c r="C123" s="13">
        <v>2130</v>
      </c>
      <c r="D123" s="8" t="s">
        <v>823</v>
      </c>
      <c r="E123" s="8" t="s">
        <v>824</v>
      </c>
      <c r="F123" s="8" t="s">
        <v>825</v>
      </c>
      <c r="G123" s="6" t="s">
        <v>63</v>
      </c>
      <c r="H123" s="6" t="s">
        <v>38</v>
      </c>
      <c r="I123" s="8" t="s">
        <v>83</v>
      </c>
      <c r="J123" s="9">
        <v>1</v>
      </c>
      <c r="K123" s="9">
        <v>560</v>
      </c>
      <c r="L123" s="9">
        <v>2022</v>
      </c>
      <c r="M123" s="8" t="s">
        <v>826</v>
      </c>
      <c r="N123" s="8" t="s">
        <v>41</v>
      </c>
      <c r="O123" s="8" t="s">
        <v>97</v>
      </c>
      <c r="P123" s="6" t="s">
        <v>67</v>
      </c>
      <c r="Q123" s="8" t="s">
        <v>86</v>
      </c>
      <c r="R123" s="10" t="s">
        <v>827</v>
      </c>
      <c r="S123" s="11"/>
      <c r="T123" s="6" t="s">
        <v>144</v>
      </c>
      <c r="U123" s="28" t="str">
        <f>HYPERLINK("https://media.infra-m.ru/1863/1863103/cover/1863103.jpg", "Обложка")</f>
        <v>Обложка</v>
      </c>
      <c r="V123" s="28" t="str">
        <f>HYPERLINK("https://znanium.com/catalog/product/1863103", "Ознакомиться")</f>
        <v>Ознакомиться</v>
      </c>
      <c r="W123" s="8" t="s">
        <v>284</v>
      </c>
      <c r="X123" s="6"/>
      <c r="Y123" s="6"/>
      <c r="Z123" s="6"/>
      <c r="AA123" s="6" t="s">
        <v>206</v>
      </c>
    </row>
    <row r="124" spans="1:27" s="4" customFormat="1" ht="42" customHeight="1">
      <c r="A124" s="5">
        <v>0</v>
      </c>
      <c r="B124" s="6" t="s">
        <v>828</v>
      </c>
      <c r="C124" s="7">
        <v>710</v>
      </c>
      <c r="D124" s="8" t="s">
        <v>829</v>
      </c>
      <c r="E124" s="8" t="s">
        <v>830</v>
      </c>
      <c r="F124" s="8" t="s">
        <v>831</v>
      </c>
      <c r="G124" s="6" t="s">
        <v>37</v>
      </c>
      <c r="H124" s="6" t="s">
        <v>64</v>
      </c>
      <c r="I124" s="8" t="s">
        <v>39</v>
      </c>
      <c r="J124" s="9">
        <v>1</v>
      </c>
      <c r="K124" s="9">
        <v>172</v>
      </c>
      <c r="L124" s="9">
        <v>2022</v>
      </c>
      <c r="M124" s="8" t="s">
        <v>832</v>
      </c>
      <c r="N124" s="8" t="s">
        <v>41</v>
      </c>
      <c r="O124" s="8" t="s">
        <v>97</v>
      </c>
      <c r="P124" s="6" t="s">
        <v>43</v>
      </c>
      <c r="Q124" s="8" t="s">
        <v>44</v>
      </c>
      <c r="R124" s="10" t="s">
        <v>833</v>
      </c>
      <c r="S124" s="11"/>
      <c r="T124" s="6"/>
      <c r="U124" s="28" t="str">
        <f>HYPERLINK("https://media.infra-m.ru/1856/1856938/cover/1856938.jpg", "Обложка")</f>
        <v>Обложка</v>
      </c>
      <c r="V124" s="28" t="str">
        <f>HYPERLINK("https://znanium.com/catalog/product/1856938", "Ознакомиться")</f>
        <v>Ознакомиться</v>
      </c>
      <c r="W124" s="8" t="s">
        <v>834</v>
      </c>
      <c r="X124" s="6"/>
      <c r="Y124" s="6"/>
      <c r="Z124" s="6"/>
      <c r="AA124" s="6" t="s">
        <v>166</v>
      </c>
    </row>
    <row r="125" spans="1:27" s="4" customFormat="1" ht="42" customHeight="1">
      <c r="A125" s="5">
        <v>0</v>
      </c>
      <c r="B125" s="6" t="s">
        <v>835</v>
      </c>
      <c r="C125" s="7">
        <v>990</v>
      </c>
      <c r="D125" s="8" t="s">
        <v>836</v>
      </c>
      <c r="E125" s="8" t="s">
        <v>837</v>
      </c>
      <c r="F125" s="8" t="s">
        <v>575</v>
      </c>
      <c r="G125" s="6" t="s">
        <v>37</v>
      </c>
      <c r="H125" s="6" t="s">
        <v>347</v>
      </c>
      <c r="I125" s="8"/>
      <c r="J125" s="9">
        <v>1</v>
      </c>
      <c r="K125" s="9">
        <v>216</v>
      </c>
      <c r="L125" s="9">
        <v>2024</v>
      </c>
      <c r="M125" s="8" t="s">
        <v>838</v>
      </c>
      <c r="N125" s="8" t="s">
        <v>41</v>
      </c>
      <c r="O125" s="8" t="s">
        <v>97</v>
      </c>
      <c r="P125" s="6" t="s">
        <v>54</v>
      </c>
      <c r="Q125" s="8" t="s">
        <v>134</v>
      </c>
      <c r="R125" s="10" t="s">
        <v>373</v>
      </c>
      <c r="S125" s="11"/>
      <c r="T125" s="6"/>
      <c r="U125" s="28" t="str">
        <f>HYPERLINK("https://media.infra-m.ru/2117/2117167/cover/2117167.jpg", "Обложка")</f>
        <v>Обложка</v>
      </c>
      <c r="V125" s="28" t="str">
        <f>HYPERLINK("https://znanium.com/catalog/product/1089597", "Ознакомиться")</f>
        <v>Ознакомиться</v>
      </c>
      <c r="W125" s="8" t="s">
        <v>579</v>
      </c>
      <c r="X125" s="6"/>
      <c r="Y125" s="6"/>
      <c r="Z125" s="6"/>
      <c r="AA125" s="6" t="s">
        <v>401</v>
      </c>
    </row>
    <row r="126" spans="1:27" s="4" customFormat="1" ht="51.95" customHeight="1">
      <c r="A126" s="5">
        <v>0</v>
      </c>
      <c r="B126" s="6" t="s">
        <v>839</v>
      </c>
      <c r="C126" s="13">
        <v>1610</v>
      </c>
      <c r="D126" s="8" t="s">
        <v>840</v>
      </c>
      <c r="E126" s="8" t="s">
        <v>841</v>
      </c>
      <c r="F126" s="8" t="s">
        <v>842</v>
      </c>
      <c r="G126" s="6" t="s">
        <v>63</v>
      </c>
      <c r="H126" s="6" t="s">
        <v>125</v>
      </c>
      <c r="I126" s="8"/>
      <c r="J126" s="9">
        <v>1</v>
      </c>
      <c r="K126" s="9">
        <v>349</v>
      </c>
      <c r="L126" s="9">
        <v>2024</v>
      </c>
      <c r="M126" s="8" t="s">
        <v>843</v>
      </c>
      <c r="N126" s="8" t="s">
        <v>41</v>
      </c>
      <c r="O126" s="8" t="s">
        <v>97</v>
      </c>
      <c r="P126" s="6" t="s">
        <v>67</v>
      </c>
      <c r="Q126" s="8" t="s">
        <v>86</v>
      </c>
      <c r="R126" s="10" t="s">
        <v>844</v>
      </c>
      <c r="S126" s="11" t="s">
        <v>845</v>
      </c>
      <c r="T126" s="6"/>
      <c r="U126" s="28" t="str">
        <f>HYPERLINK("https://media.infra-m.ru/2061/2061324/cover/2061324.jpg", "Обложка")</f>
        <v>Обложка</v>
      </c>
      <c r="V126" s="28" t="str">
        <f>HYPERLINK("https://znanium.com/catalog/product/2061324", "Ознакомиться")</f>
        <v>Ознакомиться</v>
      </c>
      <c r="W126" s="8" t="s">
        <v>110</v>
      </c>
      <c r="X126" s="6"/>
      <c r="Y126" s="6"/>
      <c r="Z126" s="6"/>
      <c r="AA126" s="6" t="s">
        <v>846</v>
      </c>
    </row>
    <row r="127" spans="1:27" s="4" customFormat="1" ht="51.95" customHeight="1">
      <c r="A127" s="5">
        <v>0</v>
      </c>
      <c r="B127" s="6" t="s">
        <v>847</v>
      </c>
      <c r="C127" s="7">
        <v>970</v>
      </c>
      <c r="D127" s="8" t="s">
        <v>848</v>
      </c>
      <c r="E127" s="8" t="s">
        <v>849</v>
      </c>
      <c r="F127" s="8" t="s">
        <v>850</v>
      </c>
      <c r="G127" s="6" t="s">
        <v>95</v>
      </c>
      <c r="H127" s="6" t="s">
        <v>64</v>
      </c>
      <c r="I127" s="8" t="s">
        <v>83</v>
      </c>
      <c r="J127" s="9">
        <v>1</v>
      </c>
      <c r="K127" s="9">
        <v>268</v>
      </c>
      <c r="L127" s="9">
        <v>2020</v>
      </c>
      <c r="M127" s="8" t="s">
        <v>851</v>
      </c>
      <c r="N127" s="8" t="s">
        <v>41</v>
      </c>
      <c r="O127" s="8" t="s">
        <v>97</v>
      </c>
      <c r="P127" s="6" t="s">
        <v>54</v>
      </c>
      <c r="Q127" s="8" t="s">
        <v>86</v>
      </c>
      <c r="R127" s="10" t="s">
        <v>852</v>
      </c>
      <c r="S127" s="11" t="s">
        <v>853</v>
      </c>
      <c r="T127" s="6"/>
      <c r="U127" s="28" t="str">
        <f>HYPERLINK("https://media.infra-m.ru/1048/1048787/cover/1048787.jpg", "Обложка")</f>
        <v>Обложка</v>
      </c>
      <c r="V127" s="28" t="str">
        <f>HYPERLINK("https://znanium.com/catalog/product/1048787", "Ознакомиться")</f>
        <v>Ознакомиться</v>
      </c>
      <c r="W127" s="8" t="s">
        <v>571</v>
      </c>
      <c r="X127" s="6"/>
      <c r="Y127" s="6"/>
      <c r="Z127" s="6"/>
      <c r="AA127" s="6" t="s">
        <v>78</v>
      </c>
    </row>
    <row r="128" spans="1:27" s="4" customFormat="1" ht="51.95" customHeight="1">
      <c r="A128" s="5">
        <v>0</v>
      </c>
      <c r="B128" s="6" t="s">
        <v>854</v>
      </c>
      <c r="C128" s="13">
        <v>1850</v>
      </c>
      <c r="D128" s="8" t="s">
        <v>855</v>
      </c>
      <c r="E128" s="8" t="s">
        <v>856</v>
      </c>
      <c r="F128" s="8" t="s">
        <v>857</v>
      </c>
      <c r="G128" s="6" t="s">
        <v>63</v>
      </c>
      <c r="H128" s="6" t="s">
        <v>64</v>
      </c>
      <c r="I128" s="8" t="s">
        <v>858</v>
      </c>
      <c r="J128" s="9">
        <v>1</v>
      </c>
      <c r="K128" s="9">
        <v>391</v>
      </c>
      <c r="L128" s="9">
        <v>2022</v>
      </c>
      <c r="M128" s="8" t="s">
        <v>859</v>
      </c>
      <c r="N128" s="8" t="s">
        <v>41</v>
      </c>
      <c r="O128" s="8" t="s">
        <v>97</v>
      </c>
      <c r="P128" s="6" t="s">
        <v>54</v>
      </c>
      <c r="Q128" s="8" t="s">
        <v>860</v>
      </c>
      <c r="R128" s="10" t="s">
        <v>861</v>
      </c>
      <c r="S128" s="11" t="s">
        <v>862</v>
      </c>
      <c r="T128" s="6"/>
      <c r="U128" s="28" t="str">
        <f>HYPERLINK("https://media.infra-m.ru/1356/1356958/cover/1356958.jpg", "Обложка")</f>
        <v>Обложка</v>
      </c>
      <c r="V128" s="28" t="str">
        <f>HYPERLINK("https://znanium.com/catalog/product/1356958", "Ознакомиться")</f>
        <v>Ознакомиться</v>
      </c>
      <c r="W128" s="8" t="s">
        <v>100</v>
      </c>
      <c r="X128" s="6"/>
      <c r="Y128" s="6"/>
      <c r="Z128" s="6"/>
      <c r="AA128" s="6" t="s">
        <v>299</v>
      </c>
    </row>
    <row r="129" spans="1:27" s="4" customFormat="1" ht="51.95" customHeight="1">
      <c r="A129" s="5">
        <v>0</v>
      </c>
      <c r="B129" s="6" t="s">
        <v>863</v>
      </c>
      <c r="C129" s="7">
        <v>964</v>
      </c>
      <c r="D129" s="8" t="s">
        <v>864</v>
      </c>
      <c r="E129" s="8" t="s">
        <v>865</v>
      </c>
      <c r="F129" s="8" t="s">
        <v>866</v>
      </c>
      <c r="G129" s="6" t="s">
        <v>95</v>
      </c>
      <c r="H129" s="6" t="s">
        <v>329</v>
      </c>
      <c r="I129" s="8" t="s">
        <v>185</v>
      </c>
      <c r="J129" s="9">
        <v>1</v>
      </c>
      <c r="K129" s="9">
        <v>208</v>
      </c>
      <c r="L129" s="9">
        <v>2024</v>
      </c>
      <c r="M129" s="8" t="s">
        <v>867</v>
      </c>
      <c r="N129" s="8" t="s">
        <v>41</v>
      </c>
      <c r="O129" s="8" t="s">
        <v>97</v>
      </c>
      <c r="P129" s="6" t="s">
        <v>54</v>
      </c>
      <c r="Q129" s="8" t="s">
        <v>86</v>
      </c>
      <c r="R129" s="10" t="s">
        <v>868</v>
      </c>
      <c r="S129" s="11" t="s">
        <v>869</v>
      </c>
      <c r="T129" s="6"/>
      <c r="U129" s="28" t="str">
        <f>HYPERLINK("https://media.infra-m.ru/2074/2074384/cover/2074384.jpg", "Обложка")</f>
        <v>Обложка</v>
      </c>
      <c r="V129" s="28" t="str">
        <f>HYPERLINK("https://znanium.com/catalog/product/929645", "Ознакомиться")</f>
        <v>Ознакомиться</v>
      </c>
      <c r="W129" s="8"/>
      <c r="X129" s="6"/>
      <c r="Y129" s="6"/>
      <c r="Z129" s="6"/>
      <c r="AA129" s="6" t="s">
        <v>469</v>
      </c>
    </row>
    <row r="130" spans="1:27" s="4" customFormat="1" ht="51.95" customHeight="1">
      <c r="A130" s="5">
        <v>0</v>
      </c>
      <c r="B130" s="6" t="s">
        <v>870</v>
      </c>
      <c r="C130" s="13">
        <v>1280</v>
      </c>
      <c r="D130" s="8" t="s">
        <v>871</v>
      </c>
      <c r="E130" s="8" t="s">
        <v>872</v>
      </c>
      <c r="F130" s="8" t="s">
        <v>873</v>
      </c>
      <c r="G130" s="6" t="s">
        <v>63</v>
      </c>
      <c r="H130" s="6" t="s">
        <v>64</v>
      </c>
      <c r="I130" s="8" t="s">
        <v>858</v>
      </c>
      <c r="J130" s="9">
        <v>1</v>
      </c>
      <c r="K130" s="9">
        <v>283</v>
      </c>
      <c r="L130" s="9">
        <v>2022</v>
      </c>
      <c r="M130" s="8" t="s">
        <v>874</v>
      </c>
      <c r="N130" s="8" t="s">
        <v>41</v>
      </c>
      <c r="O130" s="8" t="s">
        <v>97</v>
      </c>
      <c r="P130" s="6" t="s">
        <v>54</v>
      </c>
      <c r="Q130" s="8" t="s">
        <v>860</v>
      </c>
      <c r="R130" s="10" t="s">
        <v>861</v>
      </c>
      <c r="S130" s="11" t="s">
        <v>875</v>
      </c>
      <c r="T130" s="6"/>
      <c r="U130" s="28" t="str">
        <f>HYPERLINK("https://media.infra-m.ru/1896/1896115/cover/1896115.jpg", "Обложка")</f>
        <v>Обложка</v>
      </c>
      <c r="V130" s="28" t="str">
        <f>HYPERLINK("https://znanium.com/catalog/product/1356958", "Ознакомиться")</f>
        <v>Ознакомиться</v>
      </c>
      <c r="W130" s="8" t="s">
        <v>100</v>
      </c>
      <c r="X130" s="6"/>
      <c r="Y130" s="6"/>
      <c r="Z130" s="6"/>
      <c r="AA130" s="6" t="s">
        <v>401</v>
      </c>
    </row>
    <row r="131" spans="1:27" s="4" customFormat="1" ht="51.95" customHeight="1">
      <c r="A131" s="5">
        <v>0</v>
      </c>
      <c r="B131" s="6" t="s">
        <v>876</v>
      </c>
      <c r="C131" s="7">
        <v>820</v>
      </c>
      <c r="D131" s="8" t="s">
        <v>877</v>
      </c>
      <c r="E131" s="8" t="s">
        <v>878</v>
      </c>
      <c r="F131" s="8" t="s">
        <v>879</v>
      </c>
      <c r="G131" s="6" t="s">
        <v>63</v>
      </c>
      <c r="H131" s="6" t="s">
        <v>64</v>
      </c>
      <c r="I131" s="8" t="s">
        <v>192</v>
      </c>
      <c r="J131" s="9">
        <v>1</v>
      </c>
      <c r="K131" s="9">
        <v>182</v>
      </c>
      <c r="L131" s="9">
        <v>2023</v>
      </c>
      <c r="M131" s="8" t="s">
        <v>880</v>
      </c>
      <c r="N131" s="8" t="s">
        <v>41</v>
      </c>
      <c r="O131" s="8" t="s">
        <v>97</v>
      </c>
      <c r="P131" s="6" t="s">
        <v>67</v>
      </c>
      <c r="Q131" s="8" t="s">
        <v>194</v>
      </c>
      <c r="R131" s="10" t="s">
        <v>881</v>
      </c>
      <c r="S131" s="11" t="s">
        <v>882</v>
      </c>
      <c r="T131" s="6"/>
      <c r="U131" s="28" t="str">
        <f>HYPERLINK("https://media.infra-m.ru/1926/1926391/cover/1926391.jpg", "Обложка")</f>
        <v>Обложка</v>
      </c>
      <c r="V131" s="28" t="str">
        <f>HYPERLINK("https://znanium.com/catalog/product/1926391", "Ознакомиться")</f>
        <v>Ознакомиться</v>
      </c>
      <c r="W131" s="8" t="s">
        <v>883</v>
      </c>
      <c r="X131" s="6"/>
      <c r="Y131" s="6"/>
      <c r="Z131" s="6"/>
      <c r="AA131" s="6" t="s">
        <v>58</v>
      </c>
    </row>
    <row r="132" spans="1:27" s="4" customFormat="1" ht="51.95" customHeight="1">
      <c r="A132" s="5">
        <v>0</v>
      </c>
      <c r="B132" s="6" t="s">
        <v>884</v>
      </c>
      <c r="C132" s="13">
        <v>1480</v>
      </c>
      <c r="D132" s="8" t="s">
        <v>885</v>
      </c>
      <c r="E132" s="8" t="s">
        <v>886</v>
      </c>
      <c r="F132" s="8" t="s">
        <v>887</v>
      </c>
      <c r="G132" s="6" t="s">
        <v>63</v>
      </c>
      <c r="H132" s="6" t="s">
        <v>125</v>
      </c>
      <c r="I132" s="8" t="s">
        <v>888</v>
      </c>
      <c r="J132" s="9">
        <v>1</v>
      </c>
      <c r="K132" s="9">
        <v>328</v>
      </c>
      <c r="L132" s="9">
        <v>2023</v>
      </c>
      <c r="M132" s="8" t="s">
        <v>889</v>
      </c>
      <c r="N132" s="8" t="s">
        <v>41</v>
      </c>
      <c r="O132" s="8" t="s">
        <v>97</v>
      </c>
      <c r="P132" s="6" t="s">
        <v>54</v>
      </c>
      <c r="Q132" s="8" t="s">
        <v>86</v>
      </c>
      <c r="R132" s="10" t="s">
        <v>890</v>
      </c>
      <c r="S132" s="11" t="s">
        <v>891</v>
      </c>
      <c r="T132" s="6"/>
      <c r="U132" s="28" t="str">
        <f>HYPERLINK("https://media.infra-m.ru/2048/2048899/cover/2048899.jpg", "Обложка")</f>
        <v>Обложка</v>
      </c>
      <c r="V132" s="28" t="str">
        <f>HYPERLINK("https://znanium.com/catalog/product/2048899", "Ознакомиться")</f>
        <v>Ознакомиться</v>
      </c>
      <c r="W132" s="8" t="s">
        <v>892</v>
      </c>
      <c r="X132" s="6"/>
      <c r="Y132" s="6"/>
      <c r="Z132" s="6"/>
      <c r="AA132" s="6" t="s">
        <v>632</v>
      </c>
    </row>
    <row r="133" spans="1:27" s="4" customFormat="1" ht="51.95" customHeight="1">
      <c r="A133" s="5">
        <v>0</v>
      </c>
      <c r="B133" s="6" t="s">
        <v>893</v>
      </c>
      <c r="C133" s="13">
        <v>2700</v>
      </c>
      <c r="D133" s="8" t="s">
        <v>894</v>
      </c>
      <c r="E133" s="8" t="s">
        <v>895</v>
      </c>
      <c r="F133" s="8" t="s">
        <v>896</v>
      </c>
      <c r="G133" s="6" t="s">
        <v>63</v>
      </c>
      <c r="H133" s="6" t="s">
        <v>64</v>
      </c>
      <c r="I133" s="8" t="s">
        <v>217</v>
      </c>
      <c r="J133" s="9">
        <v>1</v>
      </c>
      <c r="K133" s="9">
        <v>591</v>
      </c>
      <c r="L133" s="9">
        <v>2023</v>
      </c>
      <c r="M133" s="8" t="s">
        <v>897</v>
      </c>
      <c r="N133" s="8" t="s">
        <v>41</v>
      </c>
      <c r="O133" s="8" t="s">
        <v>97</v>
      </c>
      <c r="P133" s="6" t="s">
        <v>67</v>
      </c>
      <c r="Q133" s="8" t="s">
        <v>86</v>
      </c>
      <c r="R133" s="10" t="s">
        <v>555</v>
      </c>
      <c r="S133" s="11" t="s">
        <v>898</v>
      </c>
      <c r="T133" s="6" t="s">
        <v>144</v>
      </c>
      <c r="U133" s="28" t="str">
        <f>HYPERLINK("https://media.infra-m.ru/1983/1983269/cover/1983269.jpg", "Обложка")</f>
        <v>Обложка</v>
      </c>
      <c r="V133" s="28" t="str">
        <f>HYPERLINK("https://znanium.com/catalog/product/1983269", "Ознакомиться")</f>
        <v>Ознакомиться</v>
      </c>
      <c r="W133" s="8" t="s">
        <v>110</v>
      </c>
      <c r="X133" s="6"/>
      <c r="Y133" s="6"/>
      <c r="Z133" s="6"/>
      <c r="AA133" s="6" t="s">
        <v>221</v>
      </c>
    </row>
    <row r="134" spans="1:27" s="4" customFormat="1" ht="51.95" customHeight="1">
      <c r="A134" s="5">
        <v>0</v>
      </c>
      <c r="B134" s="6" t="s">
        <v>899</v>
      </c>
      <c r="C134" s="13">
        <v>2190</v>
      </c>
      <c r="D134" s="8" t="s">
        <v>900</v>
      </c>
      <c r="E134" s="8" t="s">
        <v>901</v>
      </c>
      <c r="F134" s="8" t="s">
        <v>902</v>
      </c>
      <c r="G134" s="6" t="s">
        <v>63</v>
      </c>
      <c r="H134" s="6" t="s">
        <v>64</v>
      </c>
      <c r="I134" s="8" t="s">
        <v>858</v>
      </c>
      <c r="J134" s="9">
        <v>1</v>
      </c>
      <c r="K134" s="9">
        <v>581</v>
      </c>
      <c r="L134" s="9">
        <v>2022</v>
      </c>
      <c r="M134" s="8" t="s">
        <v>903</v>
      </c>
      <c r="N134" s="8" t="s">
        <v>41</v>
      </c>
      <c r="O134" s="8" t="s">
        <v>97</v>
      </c>
      <c r="P134" s="6" t="s">
        <v>67</v>
      </c>
      <c r="Q134" s="8" t="s">
        <v>860</v>
      </c>
      <c r="R134" s="10" t="s">
        <v>861</v>
      </c>
      <c r="S134" s="11" t="s">
        <v>904</v>
      </c>
      <c r="T134" s="6"/>
      <c r="U134" s="28" t="str">
        <f>HYPERLINK("https://media.infra-m.ru/1854/1854021/cover/1854021.jpg", "Обложка")</f>
        <v>Обложка</v>
      </c>
      <c r="V134" s="28" t="str">
        <f>HYPERLINK("https://znanium.com/catalog/product/1854021", "Ознакомиться")</f>
        <v>Ознакомиться</v>
      </c>
      <c r="W134" s="8" t="s">
        <v>100</v>
      </c>
      <c r="X134" s="6"/>
      <c r="Y134" s="6"/>
      <c r="Z134" s="6"/>
      <c r="AA134" s="6" t="s">
        <v>401</v>
      </c>
    </row>
    <row r="135" spans="1:27" s="4" customFormat="1" ht="51.95" customHeight="1">
      <c r="A135" s="5">
        <v>0</v>
      </c>
      <c r="B135" s="6" t="s">
        <v>905</v>
      </c>
      <c r="C135" s="7">
        <v>699.9</v>
      </c>
      <c r="D135" s="8" t="s">
        <v>906</v>
      </c>
      <c r="E135" s="8" t="s">
        <v>907</v>
      </c>
      <c r="F135" s="8" t="s">
        <v>908</v>
      </c>
      <c r="G135" s="6"/>
      <c r="H135" s="6" t="s">
        <v>64</v>
      </c>
      <c r="I135" s="8" t="s">
        <v>83</v>
      </c>
      <c r="J135" s="9">
        <v>6</v>
      </c>
      <c r="K135" s="9">
        <v>681</v>
      </c>
      <c r="L135" s="9">
        <v>2015</v>
      </c>
      <c r="M135" s="8" t="s">
        <v>909</v>
      </c>
      <c r="N135" s="8" t="s">
        <v>41</v>
      </c>
      <c r="O135" s="8" t="s">
        <v>97</v>
      </c>
      <c r="P135" s="6" t="s">
        <v>67</v>
      </c>
      <c r="Q135" s="8" t="s">
        <v>86</v>
      </c>
      <c r="R135" s="10" t="s">
        <v>679</v>
      </c>
      <c r="S135" s="11"/>
      <c r="T135" s="6"/>
      <c r="U135" s="28" t="str">
        <f>HYPERLINK("https://media.infra-m.ru/0489/0489938/cover/489938.jpg", "Обложка")</f>
        <v>Обложка</v>
      </c>
      <c r="V135" s="28" t="str">
        <f>HYPERLINK("https://znanium.com/catalog/product/1937161", "Ознакомиться")</f>
        <v>Ознакомиться</v>
      </c>
      <c r="W135" s="8" t="s">
        <v>212</v>
      </c>
      <c r="X135" s="6"/>
      <c r="Y135" s="6"/>
      <c r="Z135" s="6"/>
      <c r="AA135" s="6" t="s">
        <v>910</v>
      </c>
    </row>
    <row r="136" spans="1:27" s="4" customFormat="1" ht="51.95" customHeight="1">
      <c r="A136" s="5">
        <v>0</v>
      </c>
      <c r="B136" s="6" t="s">
        <v>911</v>
      </c>
      <c r="C136" s="13">
        <v>1744.9</v>
      </c>
      <c r="D136" s="8" t="s">
        <v>912</v>
      </c>
      <c r="E136" s="8" t="s">
        <v>913</v>
      </c>
      <c r="F136" s="8" t="s">
        <v>914</v>
      </c>
      <c r="G136" s="6" t="s">
        <v>63</v>
      </c>
      <c r="H136" s="6" t="s">
        <v>64</v>
      </c>
      <c r="I136" s="8" t="s">
        <v>217</v>
      </c>
      <c r="J136" s="9">
        <v>1</v>
      </c>
      <c r="K136" s="9">
        <v>601</v>
      </c>
      <c r="L136" s="9">
        <v>2019</v>
      </c>
      <c r="M136" s="8" t="s">
        <v>915</v>
      </c>
      <c r="N136" s="8" t="s">
        <v>41</v>
      </c>
      <c r="O136" s="8" t="s">
        <v>97</v>
      </c>
      <c r="P136" s="6" t="s">
        <v>67</v>
      </c>
      <c r="Q136" s="8" t="s">
        <v>86</v>
      </c>
      <c r="R136" s="10" t="s">
        <v>555</v>
      </c>
      <c r="S136" s="11" t="s">
        <v>916</v>
      </c>
      <c r="T136" s="6" t="s">
        <v>144</v>
      </c>
      <c r="U136" s="28" t="str">
        <f>HYPERLINK("https://media.infra-m.ru/1032/1032207/cover/1032207.jpg", "Обложка")</f>
        <v>Обложка</v>
      </c>
      <c r="V136" s="28" t="str">
        <f>HYPERLINK("https://znanium.com/catalog/product/1983269", "Ознакомиться")</f>
        <v>Ознакомиться</v>
      </c>
      <c r="W136" s="8" t="s">
        <v>110</v>
      </c>
      <c r="X136" s="6"/>
      <c r="Y136" s="6"/>
      <c r="Z136" s="6"/>
      <c r="AA136" s="6" t="s">
        <v>127</v>
      </c>
    </row>
    <row r="137" spans="1:27" s="4" customFormat="1" ht="51.95" customHeight="1">
      <c r="A137" s="5">
        <v>0</v>
      </c>
      <c r="B137" s="6" t="s">
        <v>917</v>
      </c>
      <c r="C137" s="13">
        <v>1250</v>
      </c>
      <c r="D137" s="8" t="s">
        <v>918</v>
      </c>
      <c r="E137" s="8" t="s">
        <v>907</v>
      </c>
      <c r="F137" s="8" t="s">
        <v>919</v>
      </c>
      <c r="G137" s="6" t="s">
        <v>63</v>
      </c>
      <c r="H137" s="6" t="s">
        <v>64</v>
      </c>
      <c r="I137" s="8" t="s">
        <v>192</v>
      </c>
      <c r="J137" s="9">
        <v>1</v>
      </c>
      <c r="K137" s="9">
        <v>304</v>
      </c>
      <c r="L137" s="9">
        <v>2022</v>
      </c>
      <c r="M137" s="8" t="s">
        <v>920</v>
      </c>
      <c r="N137" s="8" t="s">
        <v>41</v>
      </c>
      <c r="O137" s="8" t="s">
        <v>97</v>
      </c>
      <c r="P137" s="6" t="s">
        <v>54</v>
      </c>
      <c r="Q137" s="8" t="s">
        <v>194</v>
      </c>
      <c r="R137" s="10" t="s">
        <v>921</v>
      </c>
      <c r="S137" s="11" t="s">
        <v>922</v>
      </c>
      <c r="T137" s="6"/>
      <c r="U137" s="28" t="str">
        <f>HYPERLINK("https://media.infra-m.ru/1843/1843263/cover/1843263.jpg", "Обложка")</f>
        <v>Обложка</v>
      </c>
      <c r="V137" s="28" t="str">
        <f>HYPERLINK("https://znanium.com/catalog/product/1843263", "Ознакомиться")</f>
        <v>Ознакомиться</v>
      </c>
      <c r="W137" s="8" t="s">
        <v>110</v>
      </c>
      <c r="X137" s="6"/>
      <c r="Y137" s="6"/>
      <c r="Z137" s="6"/>
      <c r="AA137" s="6" t="s">
        <v>451</v>
      </c>
    </row>
    <row r="138" spans="1:27" s="4" customFormat="1" ht="51.95" customHeight="1">
      <c r="A138" s="5">
        <v>0</v>
      </c>
      <c r="B138" s="6" t="s">
        <v>923</v>
      </c>
      <c r="C138" s="13">
        <v>1144.9000000000001</v>
      </c>
      <c r="D138" s="8" t="s">
        <v>924</v>
      </c>
      <c r="E138" s="8" t="s">
        <v>895</v>
      </c>
      <c r="F138" s="8" t="s">
        <v>919</v>
      </c>
      <c r="G138" s="6" t="s">
        <v>37</v>
      </c>
      <c r="H138" s="6" t="s">
        <v>357</v>
      </c>
      <c r="I138" s="8" t="s">
        <v>330</v>
      </c>
      <c r="J138" s="9">
        <v>1</v>
      </c>
      <c r="K138" s="9">
        <v>318</v>
      </c>
      <c r="L138" s="9">
        <v>2020</v>
      </c>
      <c r="M138" s="8" t="s">
        <v>925</v>
      </c>
      <c r="N138" s="8" t="s">
        <v>41</v>
      </c>
      <c r="O138" s="8" t="s">
        <v>97</v>
      </c>
      <c r="P138" s="6" t="s">
        <v>54</v>
      </c>
      <c r="Q138" s="8" t="s">
        <v>194</v>
      </c>
      <c r="R138" s="10" t="s">
        <v>921</v>
      </c>
      <c r="S138" s="11" t="s">
        <v>926</v>
      </c>
      <c r="T138" s="6"/>
      <c r="U138" s="28" t="str">
        <f>HYPERLINK("https://media.infra-m.ru/1141/1141787/cover/1141787.jpg", "Обложка")</f>
        <v>Обложка</v>
      </c>
      <c r="V138" s="28" t="str">
        <f>HYPERLINK("https://znanium.com/catalog/product/1843263", "Ознакомиться")</f>
        <v>Ознакомиться</v>
      </c>
      <c r="W138" s="8" t="s">
        <v>110</v>
      </c>
      <c r="X138" s="6"/>
      <c r="Y138" s="6"/>
      <c r="Z138" s="6"/>
      <c r="AA138" s="6" t="s">
        <v>927</v>
      </c>
    </row>
    <row r="139" spans="1:27" s="4" customFormat="1" ht="44.1" customHeight="1">
      <c r="A139" s="5">
        <v>0</v>
      </c>
      <c r="B139" s="6" t="s">
        <v>928</v>
      </c>
      <c r="C139" s="7">
        <v>89.9</v>
      </c>
      <c r="D139" s="8" t="s">
        <v>929</v>
      </c>
      <c r="E139" s="8" t="s">
        <v>930</v>
      </c>
      <c r="F139" s="8"/>
      <c r="G139" s="6" t="s">
        <v>37</v>
      </c>
      <c r="H139" s="6" t="s">
        <v>38</v>
      </c>
      <c r="I139" s="8" t="s">
        <v>303</v>
      </c>
      <c r="J139" s="9">
        <v>80</v>
      </c>
      <c r="K139" s="9">
        <v>159</v>
      </c>
      <c r="L139" s="9">
        <v>2016</v>
      </c>
      <c r="M139" s="8" t="s">
        <v>931</v>
      </c>
      <c r="N139" s="8" t="s">
        <v>41</v>
      </c>
      <c r="O139" s="8" t="s">
        <v>97</v>
      </c>
      <c r="P139" s="6" t="s">
        <v>305</v>
      </c>
      <c r="Q139" s="8" t="s">
        <v>86</v>
      </c>
      <c r="R139" s="10" t="s">
        <v>604</v>
      </c>
      <c r="S139" s="11"/>
      <c r="T139" s="6"/>
      <c r="U139" s="28" t="str">
        <f>HYPERLINK("https://media.infra-m.ru/0614/0614661/cover/614661.jpg", "Обложка")</f>
        <v>Обложка</v>
      </c>
      <c r="V139" s="28" t="str">
        <f>HYPERLINK("https://znanium.com/catalog/product/614661", "Ознакомиться")</f>
        <v>Ознакомиться</v>
      </c>
      <c r="W139" s="8"/>
      <c r="X139" s="6"/>
      <c r="Y139" s="6"/>
      <c r="Z139" s="6"/>
      <c r="AA139" s="6" t="s">
        <v>681</v>
      </c>
    </row>
    <row r="140" spans="1:27" s="4" customFormat="1" ht="51.95" customHeight="1">
      <c r="A140" s="5">
        <v>0</v>
      </c>
      <c r="B140" s="6" t="s">
        <v>932</v>
      </c>
      <c r="C140" s="7">
        <v>864.9</v>
      </c>
      <c r="D140" s="8" t="s">
        <v>933</v>
      </c>
      <c r="E140" s="8" t="s">
        <v>934</v>
      </c>
      <c r="F140" s="8" t="s">
        <v>935</v>
      </c>
      <c r="G140" s="6" t="s">
        <v>95</v>
      </c>
      <c r="H140" s="6" t="s">
        <v>64</v>
      </c>
      <c r="I140" s="8" t="s">
        <v>83</v>
      </c>
      <c r="J140" s="9">
        <v>1</v>
      </c>
      <c r="K140" s="9">
        <v>192</v>
      </c>
      <c r="L140" s="9">
        <v>2023</v>
      </c>
      <c r="M140" s="8" t="s">
        <v>936</v>
      </c>
      <c r="N140" s="8" t="s">
        <v>41</v>
      </c>
      <c r="O140" s="8" t="s">
        <v>97</v>
      </c>
      <c r="P140" s="6" t="s">
        <v>54</v>
      </c>
      <c r="Q140" s="8" t="s">
        <v>86</v>
      </c>
      <c r="R140" s="10" t="s">
        <v>604</v>
      </c>
      <c r="S140" s="11" t="s">
        <v>937</v>
      </c>
      <c r="T140" s="6" t="s">
        <v>144</v>
      </c>
      <c r="U140" s="28" t="str">
        <f>HYPERLINK("https://media.infra-m.ru/1911/1911816/cover/1911816.jpg", "Обложка")</f>
        <v>Обложка</v>
      </c>
      <c r="V140" s="28" t="str">
        <f>HYPERLINK("https://znanium.com/catalog/product/937991", "Ознакомиться")</f>
        <v>Ознакомиться</v>
      </c>
      <c r="W140" s="8" t="s">
        <v>673</v>
      </c>
      <c r="X140" s="6"/>
      <c r="Y140" s="6"/>
      <c r="Z140" s="6"/>
      <c r="AA140" s="6" t="s">
        <v>78</v>
      </c>
    </row>
    <row r="141" spans="1:27" s="4" customFormat="1" ht="51.95" customHeight="1">
      <c r="A141" s="5">
        <v>0</v>
      </c>
      <c r="B141" s="6" t="s">
        <v>938</v>
      </c>
      <c r="C141" s="13">
        <v>1264.9000000000001</v>
      </c>
      <c r="D141" s="8" t="s">
        <v>939</v>
      </c>
      <c r="E141" s="8" t="s">
        <v>940</v>
      </c>
      <c r="F141" s="8" t="s">
        <v>941</v>
      </c>
      <c r="G141" s="6" t="s">
        <v>95</v>
      </c>
      <c r="H141" s="6" t="s">
        <v>125</v>
      </c>
      <c r="I141" s="8" t="s">
        <v>942</v>
      </c>
      <c r="J141" s="9">
        <v>1</v>
      </c>
      <c r="K141" s="9">
        <v>280</v>
      </c>
      <c r="L141" s="9">
        <v>2023</v>
      </c>
      <c r="M141" s="8" t="s">
        <v>943</v>
      </c>
      <c r="N141" s="8" t="s">
        <v>41</v>
      </c>
      <c r="O141" s="8" t="s">
        <v>97</v>
      </c>
      <c r="P141" s="6" t="s">
        <v>54</v>
      </c>
      <c r="Q141" s="8" t="s">
        <v>86</v>
      </c>
      <c r="R141" s="10" t="s">
        <v>890</v>
      </c>
      <c r="S141" s="11"/>
      <c r="T141" s="6" t="s">
        <v>144</v>
      </c>
      <c r="U141" s="28" t="str">
        <f>HYPERLINK("https://media.infra-m.ru/1913/1913691/cover/1913691.jpg", "Обложка")</f>
        <v>Обложка</v>
      </c>
      <c r="V141" s="28" t="str">
        <f>HYPERLINK("https://znanium.com/catalog/product/938047", "Ознакомиться")</f>
        <v>Ознакомиться</v>
      </c>
      <c r="W141" s="8" t="s">
        <v>110</v>
      </c>
      <c r="X141" s="6"/>
      <c r="Y141" s="6"/>
      <c r="Z141" s="6"/>
      <c r="AA141" s="6" t="s">
        <v>78</v>
      </c>
    </row>
    <row r="142" spans="1:27" s="4" customFormat="1" ht="51.95" customHeight="1">
      <c r="A142" s="5">
        <v>0</v>
      </c>
      <c r="B142" s="6" t="s">
        <v>944</v>
      </c>
      <c r="C142" s="13">
        <v>2494</v>
      </c>
      <c r="D142" s="8" t="s">
        <v>945</v>
      </c>
      <c r="E142" s="8" t="s">
        <v>946</v>
      </c>
      <c r="F142" s="8" t="s">
        <v>947</v>
      </c>
      <c r="G142" s="6" t="s">
        <v>63</v>
      </c>
      <c r="H142" s="6" t="s">
        <v>64</v>
      </c>
      <c r="I142" s="8" t="s">
        <v>83</v>
      </c>
      <c r="J142" s="9">
        <v>1</v>
      </c>
      <c r="K142" s="9">
        <v>561</v>
      </c>
      <c r="L142" s="9">
        <v>2024</v>
      </c>
      <c r="M142" s="8" t="s">
        <v>948</v>
      </c>
      <c r="N142" s="8" t="s">
        <v>41</v>
      </c>
      <c r="O142" s="8" t="s">
        <v>97</v>
      </c>
      <c r="P142" s="6" t="s">
        <v>54</v>
      </c>
      <c r="Q142" s="8" t="s">
        <v>86</v>
      </c>
      <c r="R142" s="10" t="s">
        <v>98</v>
      </c>
      <c r="S142" s="11" t="s">
        <v>949</v>
      </c>
      <c r="T142" s="6" t="s">
        <v>144</v>
      </c>
      <c r="U142" s="28" t="str">
        <f>HYPERLINK("https://media.infra-m.ru/2082/2082884/cover/2082884.jpg", "Обложка")</f>
        <v>Обложка</v>
      </c>
      <c r="V142" s="28" t="str">
        <f>HYPERLINK("https://znanium.com/catalog/product/1083371", "Ознакомиться")</f>
        <v>Ознакомиться</v>
      </c>
      <c r="W142" s="8" t="s">
        <v>587</v>
      </c>
      <c r="X142" s="6"/>
      <c r="Y142" s="6"/>
      <c r="Z142" s="6"/>
      <c r="AA142" s="6" t="s">
        <v>441</v>
      </c>
    </row>
    <row r="143" spans="1:27" s="4" customFormat="1" ht="51.95" customHeight="1">
      <c r="A143" s="5">
        <v>0</v>
      </c>
      <c r="B143" s="6" t="s">
        <v>950</v>
      </c>
      <c r="C143" s="13">
        <v>1324</v>
      </c>
      <c r="D143" s="8" t="s">
        <v>951</v>
      </c>
      <c r="E143" s="8" t="s">
        <v>946</v>
      </c>
      <c r="F143" s="8" t="s">
        <v>952</v>
      </c>
      <c r="G143" s="6" t="s">
        <v>95</v>
      </c>
      <c r="H143" s="6" t="s">
        <v>125</v>
      </c>
      <c r="I143" s="8"/>
      <c r="J143" s="9">
        <v>1</v>
      </c>
      <c r="K143" s="9">
        <v>288</v>
      </c>
      <c r="L143" s="9">
        <v>2024</v>
      </c>
      <c r="M143" s="8" t="s">
        <v>953</v>
      </c>
      <c r="N143" s="8" t="s">
        <v>41</v>
      </c>
      <c r="O143" s="8" t="s">
        <v>97</v>
      </c>
      <c r="P143" s="6" t="s">
        <v>67</v>
      </c>
      <c r="Q143" s="8" t="s">
        <v>86</v>
      </c>
      <c r="R143" s="10" t="s">
        <v>954</v>
      </c>
      <c r="S143" s="11" t="s">
        <v>955</v>
      </c>
      <c r="T143" s="6"/>
      <c r="U143" s="28" t="str">
        <f>HYPERLINK("https://media.infra-m.ru/2058/2058774/cover/2058774.jpg", "Обложка")</f>
        <v>Обложка</v>
      </c>
      <c r="V143" s="28" t="str">
        <f>HYPERLINK("https://znanium.com/catalog/product/1836615", "Ознакомиться")</f>
        <v>Ознакомиться</v>
      </c>
      <c r="W143" s="8"/>
      <c r="X143" s="6"/>
      <c r="Y143" s="6"/>
      <c r="Z143" s="6"/>
      <c r="AA143" s="6" t="s">
        <v>632</v>
      </c>
    </row>
    <row r="144" spans="1:27" s="4" customFormat="1" ht="42" customHeight="1">
      <c r="A144" s="5">
        <v>0</v>
      </c>
      <c r="B144" s="6" t="s">
        <v>956</v>
      </c>
      <c r="C144" s="13">
        <v>1194.9000000000001</v>
      </c>
      <c r="D144" s="8" t="s">
        <v>957</v>
      </c>
      <c r="E144" s="8" t="s">
        <v>958</v>
      </c>
      <c r="F144" s="8" t="s">
        <v>959</v>
      </c>
      <c r="G144" s="6" t="s">
        <v>95</v>
      </c>
      <c r="H144" s="6" t="s">
        <v>357</v>
      </c>
      <c r="I144" s="8" t="s">
        <v>65</v>
      </c>
      <c r="J144" s="9">
        <v>1</v>
      </c>
      <c r="K144" s="9">
        <v>768</v>
      </c>
      <c r="L144" s="9">
        <v>2018</v>
      </c>
      <c r="M144" s="8" t="s">
        <v>960</v>
      </c>
      <c r="N144" s="8" t="s">
        <v>41</v>
      </c>
      <c r="O144" s="8" t="s">
        <v>97</v>
      </c>
      <c r="P144" s="6" t="s">
        <v>54</v>
      </c>
      <c r="Q144" s="8" t="s">
        <v>86</v>
      </c>
      <c r="R144" s="10" t="s">
        <v>98</v>
      </c>
      <c r="S144" s="11"/>
      <c r="T144" s="6"/>
      <c r="U144" s="28" t="str">
        <f>HYPERLINK("https://media.infra-m.ru/0945/0945561/cover/945561.jpg", "Обложка")</f>
        <v>Обложка</v>
      </c>
      <c r="V144" s="28" t="str">
        <f>HYPERLINK("https://znanium.com/catalog/product/1083371", "Ознакомиться")</f>
        <v>Ознакомиться</v>
      </c>
      <c r="W144" s="8" t="s">
        <v>587</v>
      </c>
      <c r="X144" s="6"/>
      <c r="Y144" s="6"/>
      <c r="Z144" s="6"/>
      <c r="AA144" s="6" t="s">
        <v>251</v>
      </c>
    </row>
    <row r="145" spans="1:27" s="4" customFormat="1" ht="51.95" customHeight="1">
      <c r="A145" s="5">
        <v>0</v>
      </c>
      <c r="B145" s="6" t="s">
        <v>961</v>
      </c>
      <c r="C145" s="13">
        <v>2700</v>
      </c>
      <c r="D145" s="8" t="s">
        <v>962</v>
      </c>
      <c r="E145" s="8" t="s">
        <v>963</v>
      </c>
      <c r="F145" s="8" t="s">
        <v>964</v>
      </c>
      <c r="G145" s="6" t="s">
        <v>95</v>
      </c>
      <c r="H145" s="6" t="s">
        <v>64</v>
      </c>
      <c r="I145" s="8" t="s">
        <v>185</v>
      </c>
      <c r="J145" s="9">
        <v>1</v>
      </c>
      <c r="K145" s="9">
        <v>587</v>
      </c>
      <c r="L145" s="9">
        <v>2024</v>
      </c>
      <c r="M145" s="8" t="s">
        <v>965</v>
      </c>
      <c r="N145" s="8" t="s">
        <v>41</v>
      </c>
      <c r="O145" s="8" t="s">
        <v>97</v>
      </c>
      <c r="P145" s="6" t="s">
        <v>67</v>
      </c>
      <c r="Q145" s="8" t="s">
        <v>86</v>
      </c>
      <c r="R145" s="10" t="s">
        <v>966</v>
      </c>
      <c r="S145" s="11" t="s">
        <v>967</v>
      </c>
      <c r="T145" s="6"/>
      <c r="U145" s="28" t="str">
        <f>HYPERLINK("https://media.infra-m.ru/2110/2110942/cover/2110942.jpg", "Обложка")</f>
        <v>Обложка</v>
      </c>
      <c r="V145" s="28" t="str">
        <f>HYPERLINK("https://znanium.com/catalog/product/2110942", "Ознакомиться")</f>
        <v>Ознакомиться</v>
      </c>
      <c r="W145" s="8" t="s">
        <v>968</v>
      </c>
      <c r="X145" s="6"/>
      <c r="Y145" s="6"/>
      <c r="Z145" s="6"/>
      <c r="AA145" s="6" t="s">
        <v>58</v>
      </c>
    </row>
    <row r="146" spans="1:27" s="4" customFormat="1" ht="51.95" customHeight="1">
      <c r="A146" s="5">
        <v>0</v>
      </c>
      <c r="B146" s="6" t="s">
        <v>969</v>
      </c>
      <c r="C146" s="13">
        <v>2200</v>
      </c>
      <c r="D146" s="8" t="s">
        <v>970</v>
      </c>
      <c r="E146" s="8" t="s">
        <v>971</v>
      </c>
      <c r="F146" s="8" t="s">
        <v>972</v>
      </c>
      <c r="G146" s="6" t="s">
        <v>95</v>
      </c>
      <c r="H146" s="6" t="s">
        <v>347</v>
      </c>
      <c r="I146" s="8" t="s">
        <v>513</v>
      </c>
      <c r="J146" s="9">
        <v>1</v>
      </c>
      <c r="K146" s="9">
        <v>624</v>
      </c>
      <c r="L146" s="9">
        <v>2022</v>
      </c>
      <c r="M146" s="8" t="s">
        <v>973</v>
      </c>
      <c r="N146" s="8" t="s">
        <v>41</v>
      </c>
      <c r="O146" s="8" t="s">
        <v>97</v>
      </c>
      <c r="P146" s="6" t="s">
        <v>67</v>
      </c>
      <c r="Q146" s="8" t="s">
        <v>55</v>
      </c>
      <c r="R146" s="10" t="s">
        <v>974</v>
      </c>
      <c r="S146" s="11" t="s">
        <v>975</v>
      </c>
      <c r="T146" s="6"/>
      <c r="U146" s="28" t="str">
        <f>HYPERLINK("https://media.infra-m.ru/1876/1876145/cover/1876145.jpg", "Обложка")</f>
        <v>Обложка</v>
      </c>
      <c r="V146" s="28" t="str">
        <f>HYPERLINK("https://znanium.com/catalog/product/1876145", "Ознакомиться")</f>
        <v>Ознакомиться</v>
      </c>
      <c r="W146" s="8" t="s">
        <v>579</v>
      </c>
      <c r="X146" s="6"/>
      <c r="Y146" s="6"/>
      <c r="Z146" s="6"/>
      <c r="AA146" s="6" t="s">
        <v>299</v>
      </c>
    </row>
    <row r="147" spans="1:27" s="4" customFormat="1" ht="44.1" customHeight="1">
      <c r="A147" s="5">
        <v>0</v>
      </c>
      <c r="B147" s="6" t="s">
        <v>976</v>
      </c>
      <c r="C147" s="13">
        <v>2094</v>
      </c>
      <c r="D147" s="8" t="s">
        <v>977</v>
      </c>
      <c r="E147" s="8" t="s">
        <v>978</v>
      </c>
      <c r="F147" s="8" t="s">
        <v>979</v>
      </c>
      <c r="G147" s="6" t="s">
        <v>95</v>
      </c>
      <c r="H147" s="6" t="s">
        <v>125</v>
      </c>
      <c r="I147" s="8"/>
      <c r="J147" s="9">
        <v>1</v>
      </c>
      <c r="K147" s="9">
        <v>463</v>
      </c>
      <c r="L147" s="9">
        <v>2024</v>
      </c>
      <c r="M147" s="8" t="s">
        <v>980</v>
      </c>
      <c r="N147" s="8" t="s">
        <v>41</v>
      </c>
      <c r="O147" s="8" t="s">
        <v>97</v>
      </c>
      <c r="P147" s="6" t="s">
        <v>67</v>
      </c>
      <c r="Q147" s="8" t="s">
        <v>86</v>
      </c>
      <c r="R147" s="10" t="s">
        <v>482</v>
      </c>
      <c r="S147" s="11"/>
      <c r="T147" s="6" t="s">
        <v>144</v>
      </c>
      <c r="U147" s="28" t="str">
        <f>HYPERLINK("https://media.infra-m.ru/1912/1912980/cover/1912980.jpg", "Обложка")</f>
        <v>Обложка</v>
      </c>
      <c r="V147" s="28" t="str">
        <f>HYPERLINK("https://znanium.com/catalog/product/1228819", "Ознакомиться")</f>
        <v>Ознакомиться</v>
      </c>
      <c r="W147" s="8" t="s">
        <v>110</v>
      </c>
      <c r="X147" s="6"/>
      <c r="Y147" s="6"/>
      <c r="Z147" s="6"/>
      <c r="AA147" s="6" t="s">
        <v>981</v>
      </c>
    </row>
    <row r="148" spans="1:27" s="4" customFormat="1" ht="51.95" customHeight="1">
      <c r="A148" s="5">
        <v>0</v>
      </c>
      <c r="B148" s="6" t="s">
        <v>982</v>
      </c>
      <c r="C148" s="13">
        <v>2144.9</v>
      </c>
      <c r="D148" s="8" t="s">
        <v>983</v>
      </c>
      <c r="E148" s="8" t="s">
        <v>984</v>
      </c>
      <c r="F148" s="8" t="s">
        <v>972</v>
      </c>
      <c r="G148" s="6" t="s">
        <v>95</v>
      </c>
      <c r="H148" s="6" t="s">
        <v>347</v>
      </c>
      <c r="I148" s="8" t="s">
        <v>390</v>
      </c>
      <c r="J148" s="9">
        <v>1</v>
      </c>
      <c r="K148" s="9">
        <v>624</v>
      </c>
      <c r="L148" s="9">
        <v>2022</v>
      </c>
      <c r="M148" s="8" t="s">
        <v>985</v>
      </c>
      <c r="N148" s="8" t="s">
        <v>41</v>
      </c>
      <c r="O148" s="8" t="s">
        <v>97</v>
      </c>
      <c r="P148" s="6" t="s">
        <v>54</v>
      </c>
      <c r="Q148" s="8" t="s">
        <v>86</v>
      </c>
      <c r="R148" s="10" t="s">
        <v>974</v>
      </c>
      <c r="S148" s="11" t="s">
        <v>975</v>
      </c>
      <c r="T148" s="6"/>
      <c r="U148" s="28" t="str">
        <f>HYPERLINK("https://media.infra-m.ru/1852/1852231/cover/1852231.jpg", "Обложка")</f>
        <v>Обложка</v>
      </c>
      <c r="V148" s="28" t="str">
        <f>HYPERLINK("https://znanium.com/catalog/product/1876145", "Ознакомиться")</f>
        <v>Ознакомиться</v>
      </c>
      <c r="W148" s="8" t="s">
        <v>579</v>
      </c>
      <c r="X148" s="6"/>
      <c r="Y148" s="6"/>
      <c r="Z148" s="6"/>
      <c r="AA148" s="6" t="s">
        <v>90</v>
      </c>
    </row>
    <row r="149" spans="1:27" s="4" customFormat="1" ht="51.95" customHeight="1">
      <c r="A149" s="5">
        <v>0</v>
      </c>
      <c r="B149" s="6" t="s">
        <v>986</v>
      </c>
      <c r="C149" s="13">
        <v>1274</v>
      </c>
      <c r="D149" s="8" t="s">
        <v>987</v>
      </c>
      <c r="E149" s="8" t="s">
        <v>971</v>
      </c>
      <c r="F149" s="8" t="s">
        <v>988</v>
      </c>
      <c r="G149" s="6" t="s">
        <v>63</v>
      </c>
      <c r="H149" s="6" t="s">
        <v>64</v>
      </c>
      <c r="I149" s="8" t="s">
        <v>83</v>
      </c>
      <c r="J149" s="9">
        <v>1</v>
      </c>
      <c r="K149" s="9">
        <v>277</v>
      </c>
      <c r="L149" s="9">
        <v>2024</v>
      </c>
      <c r="M149" s="8" t="s">
        <v>989</v>
      </c>
      <c r="N149" s="8" t="s">
        <v>41</v>
      </c>
      <c r="O149" s="8" t="s">
        <v>97</v>
      </c>
      <c r="P149" s="6" t="s">
        <v>54</v>
      </c>
      <c r="Q149" s="8" t="s">
        <v>86</v>
      </c>
      <c r="R149" s="10" t="s">
        <v>653</v>
      </c>
      <c r="S149" s="11" t="s">
        <v>990</v>
      </c>
      <c r="T149" s="6"/>
      <c r="U149" s="28" t="str">
        <f>HYPERLINK("https://media.infra-m.ru/2102/2102712/cover/2102712.jpg", "Обложка")</f>
        <v>Обложка</v>
      </c>
      <c r="V149" s="28" t="str">
        <f>HYPERLINK("https://znanium.com/catalog/product/1121598", "Ознакомиться")</f>
        <v>Ознакомиться</v>
      </c>
      <c r="W149" s="8" t="s">
        <v>110</v>
      </c>
      <c r="X149" s="6"/>
      <c r="Y149" s="6"/>
      <c r="Z149" s="6"/>
      <c r="AA149" s="6" t="s">
        <v>299</v>
      </c>
    </row>
    <row r="150" spans="1:27" s="4" customFormat="1" ht="51.95" customHeight="1">
      <c r="A150" s="5">
        <v>0</v>
      </c>
      <c r="B150" s="6" t="s">
        <v>991</v>
      </c>
      <c r="C150" s="7">
        <v>864.9</v>
      </c>
      <c r="D150" s="8" t="s">
        <v>992</v>
      </c>
      <c r="E150" s="8" t="s">
        <v>984</v>
      </c>
      <c r="F150" s="8" t="s">
        <v>993</v>
      </c>
      <c r="G150" s="6" t="s">
        <v>37</v>
      </c>
      <c r="H150" s="6" t="s">
        <v>357</v>
      </c>
      <c r="I150" s="8" t="s">
        <v>83</v>
      </c>
      <c r="J150" s="9">
        <v>1</v>
      </c>
      <c r="K150" s="9">
        <v>320</v>
      </c>
      <c r="L150" s="9">
        <v>2018</v>
      </c>
      <c r="M150" s="8" t="s">
        <v>994</v>
      </c>
      <c r="N150" s="8" t="s">
        <v>41</v>
      </c>
      <c r="O150" s="8" t="s">
        <v>97</v>
      </c>
      <c r="P150" s="6" t="s">
        <v>54</v>
      </c>
      <c r="Q150" s="8" t="s">
        <v>86</v>
      </c>
      <c r="R150" s="10" t="s">
        <v>653</v>
      </c>
      <c r="S150" s="11" t="s">
        <v>995</v>
      </c>
      <c r="T150" s="6"/>
      <c r="U150" s="28" t="str">
        <f>HYPERLINK("https://media.infra-m.ru/0926/0926505/cover/926505.jpg", "Обложка")</f>
        <v>Обложка</v>
      </c>
      <c r="V150" s="28" t="str">
        <f>HYPERLINK("https://znanium.com/catalog/product/1121598", "Ознакомиться")</f>
        <v>Ознакомиться</v>
      </c>
      <c r="W150" s="8" t="s">
        <v>110</v>
      </c>
      <c r="X150" s="6"/>
      <c r="Y150" s="6"/>
      <c r="Z150" s="6"/>
      <c r="AA150" s="6" t="s">
        <v>47</v>
      </c>
    </row>
    <row r="151" spans="1:27" s="4" customFormat="1" ht="51.95" customHeight="1">
      <c r="A151" s="5">
        <v>0</v>
      </c>
      <c r="B151" s="6" t="s">
        <v>996</v>
      </c>
      <c r="C151" s="13">
        <v>1584.9</v>
      </c>
      <c r="D151" s="8" t="s">
        <v>997</v>
      </c>
      <c r="E151" s="8" t="s">
        <v>984</v>
      </c>
      <c r="F151" s="8" t="s">
        <v>998</v>
      </c>
      <c r="G151" s="6" t="s">
        <v>95</v>
      </c>
      <c r="H151" s="6" t="s">
        <v>64</v>
      </c>
      <c r="I151" s="8" t="s">
        <v>83</v>
      </c>
      <c r="J151" s="9">
        <v>1</v>
      </c>
      <c r="K151" s="9">
        <v>418</v>
      </c>
      <c r="L151" s="9">
        <v>2022</v>
      </c>
      <c r="M151" s="8" t="s">
        <v>999</v>
      </c>
      <c r="N151" s="8" t="s">
        <v>41</v>
      </c>
      <c r="O151" s="8" t="s">
        <v>97</v>
      </c>
      <c r="P151" s="6" t="s">
        <v>54</v>
      </c>
      <c r="Q151" s="8" t="s">
        <v>86</v>
      </c>
      <c r="R151" s="10" t="s">
        <v>555</v>
      </c>
      <c r="S151" s="11" t="s">
        <v>1000</v>
      </c>
      <c r="T151" s="6"/>
      <c r="U151" s="28" t="str">
        <f>HYPERLINK("https://media.infra-m.ru/1852/1852208/cover/1852208.jpg", "Обложка")</f>
        <v>Обложка</v>
      </c>
      <c r="V151" s="28" t="str">
        <f>HYPERLINK("https://znanium.com/catalog/product/1081393", "Ознакомиться")</f>
        <v>Ознакомиться</v>
      </c>
      <c r="W151" s="8" t="s">
        <v>557</v>
      </c>
      <c r="X151" s="6"/>
      <c r="Y151" s="6"/>
      <c r="Z151" s="6"/>
      <c r="AA151" s="6" t="s">
        <v>78</v>
      </c>
    </row>
    <row r="152" spans="1:27" s="4" customFormat="1" ht="51.95" customHeight="1">
      <c r="A152" s="5">
        <v>0</v>
      </c>
      <c r="B152" s="6" t="s">
        <v>1001</v>
      </c>
      <c r="C152" s="13">
        <v>1654.9</v>
      </c>
      <c r="D152" s="8" t="s">
        <v>1002</v>
      </c>
      <c r="E152" s="8" t="s">
        <v>984</v>
      </c>
      <c r="F152" s="8" t="s">
        <v>1003</v>
      </c>
      <c r="G152" s="6" t="s">
        <v>95</v>
      </c>
      <c r="H152" s="6" t="s">
        <v>64</v>
      </c>
      <c r="I152" s="8" t="s">
        <v>83</v>
      </c>
      <c r="J152" s="9">
        <v>1</v>
      </c>
      <c r="K152" s="9">
        <v>367</v>
      </c>
      <c r="L152" s="9">
        <v>2019</v>
      </c>
      <c r="M152" s="8" t="s">
        <v>1004</v>
      </c>
      <c r="N152" s="8" t="s">
        <v>41</v>
      </c>
      <c r="O152" s="8" t="s">
        <v>97</v>
      </c>
      <c r="P152" s="6" t="s">
        <v>54</v>
      </c>
      <c r="Q152" s="8" t="s">
        <v>86</v>
      </c>
      <c r="R152" s="10" t="s">
        <v>1005</v>
      </c>
      <c r="S152" s="11"/>
      <c r="T152" s="6" t="s">
        <v>144</v>
      </c>
      <c r="U152" s="28" t="str">
        <f>HYPERLINK("https://media.infra-m.ru/1015/1015157/cover/1015157.jpg", "Обложка")</f>
        <v>Обложка</v>
      </c>
      <c r="V152" s="28" t="str">
        <f>HYPERLINK("https://znanium.com/catalog/product/1015157", "Ознакомиться")</f>
        <v>Ознакомиться</v>
      </c>
      <c r="W152" s="8" t="s">
        <v>159</v>
      </c>
      <c r="X152" s="6"/>
      <c r="Y152" s="6"/>
      <c r="Z152" s="6"/>
      <c r="AA152" s="6" t="s">
        <v>317</v>
      </c>
    </row>
    <row r="153" spans="1:27" s="4" customFormat="1" ht="51.95" customHeight="1">
      <c r="A153" s="5">
        <v>0</v>
      </c>
      <c r="B153" s="6" t="s">
        <v>1006</v>
      </c>
      <c r="C153" s="7">
        <v>604.9</v>
      </c>
      <c r="D153" s="8" t="s">
        <v>1007</v>
      </c>
      <c r="E153" s="8" t="s">
        <v>1008</v>
      </c>
      <c r="F153" s="8" t="s">
        <v>1009</v>
      </c>
      <c r="G153" s="6" t="s">
        <v>37</v>
      </c>
      <c r="H153" s="6" t="s">
        <v>357</v>
      </c>
      <c r="I153" s="8" t="s">
        <v>83</v>
      </c>
      <c r="J153" s="9">
        <v>1</v>
      </c>
      <c r="K153" s="9">
        <v>224</v>
      </c>
      <c r="L153" s="9">
        <v>2017</v>
      </c>
      <c r="M153" s="8" t="s">
        <v>1010</v>
      </c>
      <c r="N153" s="8" t="s">
        <v>41</v>
      </c>
      <c r="O153" s="8" t="s">
        <v>97</v>
      </c>
      <c r="P153" s="6" t="s">
        <v>54</v>
      </c>
      <c r="Q153" s="8" t="s">
        <v>86</v>
      </c>
      <c r="R153" s="10" t="s">
        <v>555</v>
      </c>
      <c r="S153" s="11" t="s">
        <v>1011</v>
      </c>
      <c r="T153" s="6"/>
      <c r="U153" s="12"/>
      <c r="V153" s="28" t="str">
        <f>HYPERLINK("https://znanium.com/catalog/product/1019902", "Ознакомиться")</f>
        <v>Ознакомиться</v>
      </c>
      <c r="W153" s="8" t="s">
        <v>1012</v>
      </c>
      <c r="X153" s="6"/>
      <c r="Y153" s="6"/>
      <c r="Z153" s="6"/>
      <c r="AA153" s="6" t="s">
        <v>90</v>
      </c>
    </row>
    <row r="154" spans="1:27" s="4" customFormat="1" ht="42" customHeight="1">
      <c r="A154" s="5">
        <v>0</v>
      </c>
      <c r="B154" s="6" t="s">
        <v>1013</v>
      </c>
      <c r="C154" s="13">
        <v>1424.9</v>
      </c>
      <c r="D154" s="8" t="s">
        <v>1014</v>
      </c>
      <c r="E154" s="8" t="s">
        <v>1015</v>
      </c>
      <c r="F154" s="8" t="s">
        <v>1016</v>
      </c>
      <c r="G154" s="6" t="s">
        <v>95</v>
      </c>
      <c r="H154" s="6" t="s">
        <v>125</v>
      </c>
      <c r="I154" s="8"/>
      <c r="J154" s="9">
        <v>1</v>
      </c>
      <c r="K154" s="9">
        <v>376</v>
      </c>
      <c r="L154" s="9">
        <v>2022</v>
      </c>
      <c r="M154" s="8" t="s">
        <v>1017</v>
      </c>
      <c r="N154" s="8" t="s">
        <v>41</v>
      </c>
      <c r="O154" s="8" t="s">
        <v>97</v>
      </c>
      <c r="P154" s="6" t="s">
        <v>67</v>
      </c>
      <c r="Q154" s="8" t="s">
        <v>86</v>
      </c>
      <c r="R154" s="10" t="s">
        <v>398</v>
      </c>
      <c r="S154" s="11"/>
      <c r="T154" s="6"/>
      <c r="U154" s="28" t="str">
        <f>HYPERLINK("https://media.infra-m.ru/1852/1852252/cover/1852252.jpg", "Обложка")</f>
        <v>Обложка</v>
      </c>
      <c r="V154" s="28" t="str">
        <f>HYPERLINK("https://znanium.com/catalog/product/1852252", "Ознакомиться")</f>
        <v>Ознакомиться</v>
      </c>
      <c r="W154" s="8" t="s">
        <v>110</v>
      </c>
      <c r="X154" s="6"/>
      <c r="Y154" s="6"/>
      <c r="Z154" s="6"/>
      <c r="AA154" s="6" t="s">
        <v>632</v>
      </c>
    </row>
    <row r="155" spans="1:27" s="4" customFormat="1" ht="51.95" customHeight="1">
      <c r="A155" s="5">
        <v>0</v>
      </c>
      <c r="B155" s="6" t="s">
        <v>1018</v>
      </c>
      <c r="C155" s="13">
        <v>2700</v>
      </c>
      <c r="D155" s="8" t="s">
        <v>1019</v>
      </c>
      <c r="E155" s="8" t="s">
        <v>1020</v>
      </c>
      <c r="F155" s="8" t="s">
        <v>1021</v>
      </c>
      <c r="G155" s="6" t="s">
        <v>95</v>
      </c>
      <c r="H155" s="6" t="s">
        <v>347</v>
      </c>
      <c r="I155" s="8"/>
      <c r="J155" s="9">
        <v>1</v>
      </c>
      <c r="K155" s="9">
        <v>592</v>
      </c>
      <c r="L155" s="9">
        <v>2024</v>
      </c>
      <c r="M155" s="8" t="s">
        <v>1022</v>
      </c>
      <c r="N155" s="8" t="s">
        <v>41</v>
      </c>
      <c r="O155" s="8" t="s">
        <v>97</v>
      </c>
      <c r="P155" s="6" t="s">
        <v>54</v>
      </c>
      <c r="Q155" s="8" t="s">
        <v>86</v>
      </c>
      <c r="R155" s="10" t="s">
        <v>1023</v>
      </c>
      <c r="S155" s="11" t="s">
        <v>1024</v>
      </c>
      <c r="T155" s="6"/>
      <c r="U155" s="28" t="str">
        <f>HYPERLINK("https://media.infra-m.ru/2061/2061197/cover/2061197.jpg", "Обложка")</f>
        <v>Обложка</v>
      </c>
      <c r="V155" s="28" t="str">
        <f>HYPERLINK("https://znanium.com/catalog/product/984026", "Ознакомиться")</f>
        <v>Ознакомиться</v>
      </c>
      <c r="W155" s="8" t="s">
        <v>816</v>
      </c>
      <c r="X155" s="6"/>
      <c r="Y155" s="6"/>
      <c r="Z155" s="6"/>
      <c r="AA155" s="6" t="s">
        <v>1025</v>
      </c>
    </row>
    <row r="156" spans="1:27" s="4" customFormat="1" ht="51.95" customHeight="1">
      <c r="A156" s="5">
        <v>0</v>
      </c>
      <c r="B156" s="6" t="s">
        <v>1026</v>
      </c>
      <c r="C156" s="7">
        <v>994.9</v>
      </c>
      <c r="D156" s="8" t="s">
        <v>1027</v>
      </c>
      <c r="E156" s="8" t="s">
        <v>1028</v>
      </c>
      <c r="F156" s="8" t="s">
        <v>1029</v>
      </c>
      <c r="G156" s="6" t="s">
        <v>95</v>
      </c>
      <c r="H156" s="6" t="s">
        <v>347</v>
      </c>
      <c r="I156" s="8"/>
      <c r="J156" s="9">
        <v>1</v>
      </c>
      <c r="K156" s="9">
        <v>384</v>
      </c>
      <c r="L156" s="9">
        <v>2017</v>
      </c>
      <c r="M156" s="8" t="s">
        <v>1030</v>
      </c>
      <c r="N156" s="8" t="s">
        <v>41</v>
      </c>
      <c r="O156" s="8" t="s">
        <v>97</v>
      </c>
      <c r="P156" s="6" t="s">
        <v>54</v>
      </c>
      <c r="Q156" s="8" t="s">
        <v>86</v>
      </c>
      <c r="R156" s="10" t="s">
        <v>1023</v>
      </c>
      <c r="S156" s="11" t="s">
        <v>151</v>
      </c>
      <c r="T156" s="6"/>
      <c r="U156" s="28" t="str">
        <f>HYPERLINK("https://media.infra-m.ru/0761/0761706/cover/761706.jpg", "Обложка")</f>
        <v>Обложка</v>
      </c>
      <c r="V156" s="28" t="str">
        <f>HYPERLINK("https://znanium.com/catalog/product/984026", "Ознакомиться")</f>
        <v>Ознакомиться</v>
      </c>
      <c r="W156" s="8" t="s">
        <v>816</v>
      </c>
      <c r="X156" s="6"/>
      <c r="Y156" s="6"/>
      <c r="Z156" s="6"/>
      <c r="AA156" s="6" t="s">
        <v>469</v>
      </c>
    </row>
    <row r="157" spans="1:27" s="4" customFormat="1" ht="42" customHeight="1">
      <c r="A157" s="5">
        <v>0</v>
      </c>
      <c r="B157" s="6" t="s">
        <v>1031</v>
      </c>
      <c r="C157" s="7">
        <v>974.9</v>
      </c>
      <c r="D157" s="8" t="s">
        <v>1032</v>
      </c>
      <c r="E157" s="8" t="s">
        <v>1028</v>
      </c>
      <c r="F157" s="8" t="s">
        <v>1033</v>
      </c>
      <c r="G157" s="6" t="s">
        <v>95</v>
      </c>
      <c r="H157" s="6" t="s">
        <v>38</v>
      </c>
      <c r="I157" s="8" t="s">
        <v>83</v>
      </c>
      <c r="J157" s="9">
        <v>1</v>
      </c>
      <c r="K157" s="9">
        <v>304</v>
      </c>
      <c r="L157" s="9">
        <v>2019</v>
      </c>
      <c r="M157" s="8" t="s">
        <v>1034</v>
      </c>
      <c r="N157" s="8" t="s">
        <v>41</v>
      </c>
      <c r="O157" s="8" t="s">
        <v>97</v>
      </c>
      <c r="P157" s="6" t="s">
        <v>54</v>
      </c>
      <c r="Q157" s="8" t="s">
        <v>86</v>
      </c>
      <c r="R157" s="10" t="s">
        <v>98</v>
      </c>
      <c r="S157" s="11"/>
      <c r="T157" s="6"/>
      <c r="U157" s="28" t="str">
        <f>HYPERLINK("https://media.infra-m.ru/1015/1015154/cover/1015154.jpg", "Обложка")</f>
        <v>Обложка</v>
      </c>
      <c r="V157" s="28" t="str">
        <f>HYPERLINK("https://znanium.com/catalog/product/1015154", "Ознакомиться")</f>
        <v>Ознакомиться</v>
      </c>
      <c r="W157" s="8" t="s">
        <v>352</v>
      </c>
      <c r="X157" s="6"/>
      <c r="Y157" s="6"/>
      <c r="Z157" s="6"/>
      <c r="AA157" s="6" t="s">
        <v>317</v>
      </c>
    </row>
    <row r="158" spans="1:27" s="4" customFormat="1" ht="51.95" customHeight="1">
      <c r="A158" s="5">
        <v>0</v>
      </c>
      <c r="B158" s="6" t="s">
        <v>1035</v>
      </c>
      <c r="C158" s="7">
        <v>934.9</v>
      </c>
      <c r="D158" s="8" t="s">
        <v>1036</v>
      </c>
      <c r="E158" s="8" t="s">
        <v>1015</v>
      </c>
      <c r="F158" s="8" t="s">
        <v>1037</v>
      </c>
      <c r="G158" s="6" t="s">
        <v>95</v>
      </c>
      <c r="H158" s="6" t="s">
        <v>64</v>
      </c>
      <c r="I158" s="8" t="s">
        <v>83</v>
      </c>
      <c r="J158" s="9">
        <v>1</v>
      </c>
      <c r="K158" s="9">
        <v>208</v>
      </c>
      <c r="L158" s="9">
        <v>2023</v>
      </c>
      <c r="M158" s="8" t="s">
        <v>1038</v>
      </c>
      <c r="N158" s="8" t="s">
        <v>41</v>
      </c>
      <c r="O158" s="8" t="s">
        <v>97</v>
      </c>
      <c r="P158" s="6" t="s">
        <v>54</v>
      </c>
      <c r="Q158" s="8" t="s">
        <v>86</v>
      </c>
      <c r="R158" s="10" t="s">
        <v>98</v>
      </c>
      <c r="S158" s="11" t="s">
        <v>1039</v>
      </c>
      <c r="T158" s="6"/>
      <c r="U158" s="28" t="str">
        <f>HYPERLINK("https://media.infra-m.ru/1981/1981718/cover/1981718.jpg", "Обложка")</f>
        <v>Обложка</v>
      </c>
      <c r="V158" s="28" t="str">
        <f>HYPERLINK("https://znanium.com/catalog/product/973608", "Ознакомиться")</f>
        <v>Ознакомиться</v>
      </c>
      <c r="W158" s="8" t="s">
        <v>159</v>
      </c>
      <c r="X158" s="6"/>
      <c r="Y158" s="6"/>
      <c r="Z158" s="6"/>
      <c r="AA158" s="6" t="s">
        <v>334</v>
      </c>
    </row>
    <row r="159" spans="1:27" s="4" customFormat="1" ht="51.95" customHeight="1">
      <c r="A159" s="5">
        <v>0</v>
      </c>
      <c r="B159" s="6" t="s">
        <v>1040</v>
      </c>
      <c r="C159" s="13">
        <v>1100</v>
      </c>
      <c r="D159" s="8" t="s">
        <v>1041</v>
      </c>
      <c r="E159" s="8" t="s">
        <v>1042</v>
      </c>
      <c r="F159" s="8" t="s">
        <v>1043</v>
      </c>
      <c r="G159" s="6" t="s">
        <v>95</v>
      </c>
      <c r="H159" s="6" t="s">
        <v>64</v>
      </c>
      <c r="I159" s="8" t="s">
        <v>83</v>
      </c>
      <c r="J159" s="9">
        <v>1</v>
      </c>
      <c r="K159" s="9">
        <v>225</v>
      </c>
      <c r="L159" s="9">
        <v>2023</v>
      </c>
      <c r="M159" s="8" t="s">
        <v>1044</v>
      </c>
      <c r="N159" s="8" t="s">
        <v>41</v>
      </c>
      <c r="O159" s="8" t="s">
        <v>97</v>
      </c>
      <c r="P159" s="6" t="s">
        <v>54</v>
      </c>
      <c r="Q159" s="8" t="s">
        <v>86</v>
      </c>
      <c r="R159" s="10" t="s">
        <v>1045</v>
      </c>
      <c r="S159" s="11" t="s">
        <v>1046</v>
      </c>
      <c r="T159" s="6"/>
      <c r="U159" s="28" t="str">
        <f>HYPERLINK("https://media.infra-m.ru/1870/1870564/cover/1870564.jpg", "Обложка")</f>
        <v>Обложка</v>
      </c>
      <c r="V159" s="28" t="str">
        <f>HYPERLINK("https://znanium.com/catalog/product/1870564", "Ознакомиться")</f>
        <v>Ознакомиться</v>
      </c>
      <c r="W159" s="8" t="s">
        <v>1047</v>
      </c>
      <c r="X159" s="6" t="s">
        <v>546</v>
      </c>
      <c r="Y159" s="6"/>
      <c r="Z159" s="6"/>
      <c r="AA159" s="6" t="s">
        <v>112</v>
      </c>
    </row>
    <row r="160" spans="1:27" s="4" customFormat="1" ht="42" customHeight="1">
      <c r="A160" s="5">
        <v>0</v>
      </c>
      <c r="B160" s="6" t="s">
        <v>1048</v>
      </c>
      <c r="C160" s="13">
        <v>1764</v>
      </c>
      <c r="D160" s="8" t="s">
        <v>1049</v>
      </c>
      <c r="E160" s="8" t="s">
        <v>1050</v>
      </c>
      <c r="F160" s="8" t="s">
        <v>1051</v>
      </c>
      <c r="G160" s="6" t="s">
        <v>95</v>
      </c>
      <c r="H160" s="6" t="s">
        <v>64</v>
      </c>
      <c r="I160" s="8" t="s">
        <v>39</v>
      </c>
      <c r="J160" s="9">
        <v>1</v>
      </c>
      <c r="K160" s="9">
        <v>384</v>
      </c>
      <c r="L160" s="9">
        <v>2024</v>
      </c>
      <c r="M160" s="8" t="s">
        <v>1052</v>
      </c>
      <c r="N160" s="8" t="s">
        <v>41</v>
      </c>
      <c r="O160" s="8" t="s">
        <v>97</v>
      </c>
      <c r="P160" s="6" t="s">
        <v>43</v>
      </c>
      <c r="Q160" s="8" t="s">
        <v>44</v>
      </c>
      <c r="R160" s="10" t="s">
        <v>1053</v>
      </c>
      <c r="S160" s="11"/>
      <c r="T160" s="6"/>
      <c r="U160" s="28" t="str">
        <f>HYPERLINK("https://media.infra-m.ru/2078/2078389/cover/2078389.jpg", "Обложка")</f>
        <v>Обложка</v>
      </c>
      <c r="V160" s="28" t="str">
        <f>HYPERLINK("https://znanium.com/catalog/product/1846433", "Ознакомиться")</f>
        <v>Ознакомиться</v>
      </c>
      <c r="W160" s="8"/>
      <c r="X160" s="6"/>
      <c r="Y160" s="6"/>
      <c r="Z160" s="6"/>
      <c r="AA160" s="6" t="s">
        <v>317</v>
      </c>
    </row>
    <row r="161" spans="1:27" s="4" customFormat="1" ht="44.1" customHeight="1">
      <c r="A161" s="5">
        <v>0</v>
      </c>
      <c r="B161" s="6" t="s">
        <v>1054</v>
      </c>
      <c r="C161" s="7">
        <v>580</v>
      </c>
      <c r="D161" s="8" t="s">
        <v>1055</v>
      </c>
      <c r="E161" s="8" t="s">
        <v>1056</v>
      </c>
      <c r="F161" s="8" t="s">
        <v>1057</v>
      </c>
      <c r="G161" s="6" t="s">
        <v>37</v>
      </c>
      <c r="H161" s="6" t="s">
        <v>125</v>
      </c>
      <c r="I161" s="8" t="s">
        <v>942</v>
      </c>
      <c r="J161" s="9">
        <v>1</v>
      </c>
      <c r="K161" s="9">
        <v>114</v>
      </c>
      <c r="L161" s="9">
        <v>2024</v>
      </c>
      <c r="M161" s="8" t="s">
        <v>1058</v>
      </c>
      <c r="N161" s="8" t="s">
        <v>41</v>
      </c>
      <c r="O161" s="8" t="s">
        <v>97</v>
      </c>
      <c r="P161" s="6" t="s">
        <v>43</v>
      </c>
      <c r="Q161" s="8" t="s">
        <v>44</v>
      </c>
      <c r="R161" s="10" t="s">
        <v>1059</v>
      </c>
      <c r="S161" s="11"/>
      <c r="T161" s="6"/>
      <c r="U161" s="28" t="str">
        <f>HYPERLINK("https://media.infra-m.ru/2073/2073423/cover/2073423.jpg", "Обложка")</f>
        <v>Обложка</v>
      </c>
      <c r="V161" s="28" t="str">
        <f>HYPERLINK("https://znanium.com/catalog/product/2073423", "Ознакомиться")</f>
        <v>Ознакомиться</v>
      </c>
      <c r="W161" s="8" t="s">
        <v>110</v>
      </c>
      <c r="X161" s="6"/>
      <c r="Y161" s="6"/>
      <c r="Z161" s="6"/>
      <c r="AA161" s="6" t="s">
        <v>317</v>
      </c>
    </row>
    <row r="162" spans="1:27" s="4" customFormat="1" ht="51.95" customHeight="1">
      <c r="A162" s="5">
        <v>0</v>
      </c>
      <c r="B162" s="6" t="s">
        <v>1060</v>
      </c>
      <c r="C162" s="7">
        <v>524.9</v>
      </c>
      <c r="D162" s="8" t="s">
        <v>1061</v>
      </c>
      <c r="E162" s="8" t="s">
        <v>1062</v>
      </c>
      <c r="F162" s="8" t="s">
        <v>1063</v>
      </c>
      <c r="G162" s="6" t="s">
        <v>37</v>
      </c>
      <c r="H162" s="6" t="s">
        <v>64</v>
      </c>
      <c r="I162" s="8" t="s">
        <v>39</v>
      </c>
      <c r="J162" s="9">
        <v>40</v>
      </c>
      <c r="K162" s="9">
        <v>170</v>
      </c>
      <c r="L162" s="9">
        <v>2017</v>
      </c>
      <c r="M162" s="8" t="s">
        <v>1064</v>
      </c>
      <c r="N162" s="8" t="s">
        <v>41</v>
      </c>
      <c r="O162" s="8" t="s">
        <v>97</v>
      </c>
      <c r="P162" s="6" t="s">
        <v>43</v>
      </c>
      <c r="Q162" s="8" t="s">
        <v>44</v>
      </c>
      <c r="R162" s="10" t="s">
        <v>1065</v>
      </c>
      <c r="S162" s="11"/>
      <c r="T162" s="6"/>
      <c r="U162" s="28" t="str">
        <f>HYPERLINK("https://media.infra-m.ru/0608/0608766/cover/608766.jpg", "Обложка")</f>
        <v>Обложка</v>
      </c>
      <c r="V162" s="28" t="str">
        <f>HYPERLINK("https://znanium.com/catalog/product/405515", "Ознакомиться")</f>
        <v>Ознакомиться</v>
      </c>
      <c r="W162" s="8" t="s">
        <v>1066</v>
      </c>
      <c r="X162" s="6"/>
      <c r="Y162" s="6"/>
      <c r="Z162" s="6"/>
      <c r="AA162" s="6" t="s">
        <v>47</v>
      </c>
    </row>
    <row r="163" spans="1:27" s="4" customFormat="1" ht="44.1" customHeight="1">
      <c r="A163" s="5">
        <v>0</v>
      </c>
      <c r="B163" s="6" t="s">
        <v>1067</v>
      </c>
      <c r="C163" s="7">
        <v>920</v>
      </c>
      <c r="D163" s="8" t="s">
        <v>1068</v>
      </c>
      <c r="E163" s="8" t="s">
        <v>1069</v>
      </c>
      <c r="F163" s="8" t="s">
        <v>1070</v>
      </c>
      <c r="G163" s="6" t="s">
        <v>95</v>
      </c>
      <c r="H163" s="6" t="s">
        <v>52</v>
      </c>
      <c r="I163" s="8" t="s">
        <v>192</v>
      </c>
      <c r="J163" s="9">
        <v>1</v>
      </c>
      <c r="K163" s="9">
        <v>272</v>
      </c>
      <c r="L163" s="9">
        <v>2019</v>
      </c>
      <c r="M163" s="8" t="s">
        <v>1071</v>
      </c>
      <c r="N163" s="8" t="s">
        <v>41</v>
      </c>
      <c r="O163" s="8" t="s">
        <v>42</v>
      </c>
      <c r="P163" s="6" t="s">
        <v>67</v>
      </c>
      <c r="Q163" s="8" t="s">
        <v>194</v>
      </c>
      <c r="R163" s="10" t="s">
        <v>1072</v>
      </c>
      <c r="S163" s="11"/>
      <c r="T163" s="6"/>
      <c r="U163" s="28" t="str">
        <f>HYPERLINK("https://media.infra-m.ru/1029/1029666/cover/1029666.jpg", "Обложка")</f>
        <v>Обложка</v>
      </c>
      <c r="V163" s="28" t="str">
        <f>HYPERLINK("https://znanium.com/catalog/product/1029666", "Ознакомиться")</f>
        <v>Ознакомиться</v>
      </c>
      <c r="W163" s="8" t="s">
        <v>57</v>
      </c>
      <c r="X163" s="6"/>
      <c r="Y163" s="6"/>
      <c r="Z163" s="6" t="s">
        <v>1073</v>
      </c>
      <c r="AA163" s="6" t="s">
        <v>166</v>
      </c>
    </row>
    <row r="164" spans="1:27" s="4" customFormat="1" ht="51.95" customHeight="1">
      <c r="A164" s="5">
        <v>0</v>
      </c>
      <c r="B164" s="6" t="s">
        <v>1074</v>
      </c>
      <c r="C164" s="13">
        <v>1370</v>
      </c>
      <c r="D164" s="8" t="s">
        <v>1075</v>
      </c>
      <c r="E164" s="8" t="s">
        <v>1076</v>
      </c>
      <c r="F164" s="8" t="s">
        <v>1077</v>
      </c>
      <c r="G164" s="6" t="s">
        <v>63</v>
      </c>
      <c r="H164" s="6" t="s">
        <v>64</v>
      </c>
      <c r="I164" s="8" t="s">
        <v>185</v>
      </c>
      <c r="J164" s="9">
        <v>1</v>
      </c>
      <c r="K164" s="9">
        <v>297</v>
      </c>
      <c r="L164" s="9">
        <v>2023</v>
      </c>
      <c r="M164" s="8" t="s">
        <v>1078</v>
      </c>
      <c r="N164" s="8" t="s">
        <v>41</v>
      </c>
      <c r="O164" s="8" t="s">
        <v>97</v>
      </c>
      <c r="P164" s="6" t="s">
        <v>67</v>
      </c>
      <c r="Q164" s="8" t="s">
        <v>134</v>
      </c>
      <c r="R164" s="10" t="s">
        <v>98</v>
      </c>
      <c r="S164" s="11" t="s">
        <v>1079</v>
      </c>
      <c r="T164" s="6" t="s">
        <v>144</v>
      </c>
      <c r="U164" s="28" t="str">
        <f>HYPERLINK("https://media.infra-m.ru/2039/2039989/cover/2039989.jpg", "Обложка")</f>
        <v>Обложка</v>
      </c>
      <c r="V164" s="28" t="str">
        <f>HYPERLINK("https://znanium.com/catalog/product/2039989", "Ознакомиться")</f>
        <v>Ознакомиться</v>
      </c>
      <c r="W164" s="8" t="s">
        <v>100</v>
      </c>
      <c r="X164" s="6"/>
      <c r="Y164" s="6"/>
      <c r="Z164" s="6"/>
      <c r="AA164" s="6" t="s">
        <v>47</v>
      </c>
    </row>
    <row r="165" spans="1:27" s="4" customFormat="1" ht="51.95" customHeight="1">
      <c r="A165" s="5">
        <v>0</v>
      </c>
      <c r="B165" s="6" t="s">
        <v>1080</v>
      </c>
      <c r="C165" s="13">
        <v>1200</v>
      </c>
      <c r="D165" s="8" t="s">
        <v>1081</v>
      </c>
      <c r="E165" s="8" t="s">
        <v>1076</v>
      </c>
      <c r="F165" s="8" t="s">
        <v>1082</v>
      </c>
      <c r="G165" s="6" t="s">
        <v>63</v>
      </c>
      <c r="H165" s="6" t="s">
        <v>64</v>
      </c>
      <c r="I165" s="8" t="s">
        <v>65</v>
      </c>
      <c r="J165" s="9">
        <v>1</v>
      </c>
      <c r="K165" s="9">
        <v>266</v>
      </c>
      <c r="L165" s="9">
        <v>2019</v>
      </c>
      <c r="M165" s="8" t="s">
        <v>1083</v>
      </c>
      <c r="N165" s="8" t="s">
        <v>41</v>
      </c>
      <c r="O165" s="8" t="s">
        <v>97</v>
      </c>
      <c r="P165" s="6" t="s">
        <v>54</v>
      </c>
      <c r="Q165" s="8" t="s">
        <v>55</v>
      </c>
      <c r="R165" s="10" t="s">
        <v>1084</v>
      </c>
      <c r="S165" s="11" t="s">
        <v>625</v>
      </c>
      <c r="T165" s="6" t="s">
        <v>144</v>
      </c>
      <c r="U165" s="28" t="str">
        <f>HYPERLINK("https://media.infra-m.ru/0993/0993006/cover/993006.jpg", "Обложка")</f>
        <v>Обложка</v>
      </c>
      <c r="V165" s="28" t="str">
        <f>HYPERLINK("https://znanium.com/catalog/product/993006", "Ознакомиться")</f>
        <v>Ознакомиться</v>
      </c>
      <c r="W165" s="8" t="s">
        <v>1085</v>
      </c>
      <c r="X165" s="6"/>
      <c r="Y165" s="6"/>
      <c r="Z165" s="6"/>
      <c r="AA165" s="6" t="s">
        <v>317</v>
      </c>
    </row>
    <row r="166" spans="1:27" s="4" customFormat="1" ht="51.95" customHeight="1">
      <c r="A166" s="5">
        <v>0</v>
      </c>
      <c r="B166" s="6" t="s">
        <v>1086</v>
      </c>
      <c r="C166" s="13">
        <v>1010</v>
      </c>
      <c r="D166" s="8" t="s">
        <v>1087</v>
      </c>
      <c r="E166" s="8" t="s">
        <v>1088</v>
      </c>
      <c r="F166" s="8" t="s">
        <v>1077</v>
      </c>
      <c r="G166" s="6" t="s">
        <v>63</v>
      </c>
      <c r="H166" s="6" t="s">
        <v>125</v>
      </c>
      <c r="I166" s="8" t="s">
        <v>185</v>
      </c>
      <c r="J166" s="9">
        <v>1</v>
      </c>
      <c r="K166" s="9">
        <v>296</v>
      </c>
      <c r="L166" s="9">
        <v>2020</v>
      </c>
      <c r="M166" s="8" t="s">
        <v>1089</v>
      </c>
      <c r="N166" s="8" t="s">
        <v>41</v>
      </c>
      <c r="O166" s="8" t="s">
        <v>97</v>
      </c>
      <c r="P166" s="6" t="s">
        <v>54</v>
      </c>
      <c r="Q166" s="8" t="s">
        <v>86</v>
      </c>
      <c r="R166" s="10" t="s">
        <v>98</v>
      </c>
      <c r="S166" s="11" t="s">
        <v>1090</v>
      </c>
      <c r="T166" s="6" t="s">
        <v>144</v>
      </c>
      <c r="U166" s="28" t="str">
        <f>HYPERLINK("https://media.infra-m.ru/1065/1065816/cover/1065816.jpg", "Обложка")</f>
        <v>Обложка</v>
      </c>
      <c r="V166" s="28" t="str">
        <f>HYPERLINK("https://znanium.com/catalog/product/2039989", "Ознакомиться")</f>
        <v>Ознакомиться</v>
      </c>
      <c r="W166" s="8" t="s">
        <v>100</v>
      </c>
      <c r="X166" s="6"/>
      <c r="Y166" s="6"/>
      <c r="Z166" s="6"/>
      <c r="AA166" s="6" t="s">
        <v>127</v>
      </c>
    </row>
    <row r="167" spans="1:27" s="4" customFormat="1" ht="42" customHeight="1">
      <c r="A167" s="5">
        <v>0</v>
      </c>
      <c r="B167" s="6" t="s">
        <v>1091</v>
      </c>
      <c r="C167" s="13">
        <v>1144</v>
      </c>
      <c r="D167" s="8" t="s">
        <v>1092</v>
      </c>
      <c r="E167" s="8" t="s">
        <v>1093</v>
      </c>
      <c r="F167" s="8" t="s">
        <v>1094</v>
      </c>
      <c r="G167" s="6" t="s">
        <v>63</v>
      </c>
      <c r="H167" s="6" t="s">
        <v>64</v>
      </c>
      <c r="I167" s="8" t="s">
        <v>132</v>
      </c>
      <c r="J167" s="9">
        <v>1</v>
      </c>
      <c r="K167" s="9">
        <v>247</v>
      </c>
      <c r="L167" s="9">
        <v>2024</v>
      </c>
      <c r="M167" s="8" t="s">
        <v>1095</v>
      </c>
      <c r="N167" s="8" t="s">
        <v>41</v>
      </c>
      <c r="O167" s="8" t="s">
        <v>97</v>
      </c>
      <c r="P167" s="6" t="s">
        <v>54</v>
      </c>
      <c r="Q167" s="8" t="s">
        <v>86</v>
      </c>
      <c r="R167" s="10" t="s">
        <v>1096</v>
      </c>
      <c r="S167" s="11"/>
      <c r="T167" s="6" t="s">
        <v>144</v>
      </c>
      <c r="U167" s="28" t="str">
        <f>HYPERLINK("https://media.infra-m.ru/2072/2072430/cover/2072430.jpg", "Обложка")</f>
        <v>Обложка</v>
      </c>
      <c r="V167" s="28" t="str">
        <f>HYPERLINK("https://znanium.com/catalog/product/1912361", "Ознакомиться")</f>
        <v>Ознакомиться</v>
      </c>
      <c r="W167" s="8" t="s">
        <v>110</v>
      </c>
      <c r="X167" s="6"/>
      <c r="Y167" s="6"/>
      <c r="Z167" s="6"/>
      <c r="AA167" s="6" t="s">
        <v>166</v>
      </c>
    </row>
    <row r="168" spans="1:27" s="4" customFormat="1" ht="51.95" customHeight="1">
      <c r="A168" s="5">
        <v>0</v>
      </c>
      <c r="B168" s="6" t="s">
        <v>1097</v>
      </c>
      <c r="C168" s="7">
        <v>980</v>
      </c>
      <c r="D168" s="8" t="s">
        <v>1098</v>
      </c>
      <c r="E168" s="8" t="s">
        <v>1099</v>
      </c>
      <c r="F168" s="8" t="s">
        <v>1100</v>
      </c>
      <c r="G168" s="6" t="s">
        <v>95</v>
      </c>
      <c r="H168" s="6" t="s">
        <v>1101</v>
      </c>
      <c r="I168" s="8" t="s">
        <v>185</v>
      </c>
      <c r="J168" s="9">
        <v>1</v>
      </c>
      <c r="K168" s="9">
        <v>416</v>
      </c>
      <c r="L168" s="9">
        <v>2015</v>
      </c>
      <c r="M168" s="8" t="s">
        <v>1102</v>
      </c>
      <c r="N168" s="8" t="s">
        <v>41</v>
      </c>
      <c r="O168" s="8" t="s">
        <v>42</v>
      </c>
      <c r="P168" s="6" t="s">
        <v>67</v>
      </c>
      <c r="Q168" s="8" t="s">
        <v>86</v>
      </c>
      <c r="R168" s="10" t="s">
        <v>1103</v>
      </c>
      <c r="S168" s="11" t="s">
        <v>1104</v>
      </c>
      <c r="T168" s="6"/>
      <c r="U168" s="28" t="str">
        <f>HYPERLINK("https://media.infra-m.ru/0882/0882303/cover/882303.jpg", "Обложка")</f>
        <v>Обложка</v>
      </c>
      <c r="V168" s="28" t="str">
        <f>HYPERLINK("https://znanium.com/catalog/product/1939103", "Ознакомиться")</f>
        <v>Ознакомиться</v>
      </c>
      <c r="W168" s="8" t="s">
        <v>1105</v>
      </c>
      <c r="X168" s="6"/>
      <c r="Y168" s="6"/>
      <c r="Z168" s="6"/>
      <c r="AA168" s="6" t="s">
        <v>610</v>
      </c>
    </row>
    <row r="169" spans="1:27" s="4" customFormat="1" ht="51.95" customHeight="1">
      <c r="A169" s="5">
        <v>0</v>
      </c>
      <c r="B169" s="6" t="s">
        <v>1106</v>
      </c>
      <c r="C169" s="13">
        <v>1820</v>
      </c>
      <c r="D169" s="8" t="s">
        <v>1107</v>
      </c>
      <c r="E169" s="8" t="s">
        <v>1108</v>
      </c>
      <c r="F169" s="8" t="s">
        <v>1109</v>
      </c>
      <c r="G169" s="6" t="s">
        <v>63</v>
      </c>
      <c r="H169" s="6" t="s">
        <v>64</v>
      </c>
      <c r="I169" s="8" t="s">
        <v>83</v>
      </c>
      <c r="J169" s="9">
        <v>1</v>
      </c>
      <c r="K169" s="9">
        <v>404</v>
      </c>
      <c r="L169" s="9">
        <v>2023</v>
      </c>
      <c r="M169" s="8" t="s">
        <v>1110</v>
      </c>
      <c r="N169" s="8" t="s">
        <v>41</v>
      </c>
      <c r="O169" s="8" t="s">
        <v>42</v>
      </c>
      <c r="P169" s="6" t="s">
        <v>67</v>
      </c>
      <c r="Q169" s="8" t="s">
        <v>86</v>
      </c>
      <c r="R169" s="10" t="s">
        <v>1103</v>
      </c>
      <c r="S169" s="11" t="s">
        <v>1111</v>
      </c>
      <c r="T169" s="6"/>
      <c r="U169" s="28" t="str">
        <f>HYPERLINK("https://media.infra-m.ru/1939/1939103/cover/1939103.jpg", "Обложка")</f>
        <v>Обложка</v>
      </c>
      <c r="V169" s="28" t="str">
        <f>HYPERLINK("https://znanium.com/catalog/product/1939103", "Ознакомиться")</f>
        <v>Ознакомиться</v>
      </c>
      <c r="W169" s="8" t="s">
        <v>1105</v>
      </c>
      <c r="X169" s="6"/>
      <c r="Y169" s="6"/>
      <c r="Z169" s="6"/>
      <c r="AA169" s="6" t="s">
        <v>493</v>
      </c>
    </row>
    <row r="170" spans="1:27" s="4" customFormat="1" ht="51.95" customHeight="1">
      <c r="A170" s="5">
        <v>0</v>
      </c>
      <c r="B170" s="6" t="s">
        <v>1112</v>
      </c>
      <c r="C170" s="7">
        <v>874.9</v>
      </c>
      <c r="D170" s="8" t="s">
        <v>1113</v>
      </c>
      <c r="E170" s="8" t="s">
        <v>1114</v>
      </c>
      <c r="F170" s="8" t="s">
        <v>1115</v>
      </c>
      <c r="G170" s="6" t="s">
        <v>95</v>
      </c>
      <c r="H170" s="6" t="s">
        <v>52</v>
      </c>
      <c r="I170" s="8"/>
      <c r="J170" s="9">
        <v>1</v>
      </c>
      <c r="K170" s="9">
        <v>256</v>
      </c>
      <c r="L170" s="9">
        <v>2020</v>
      </c>
      <c r="M170" s="8" t="s">
        <v>1116</v>
      </c>
      <c r="N170" s="8" t="s">
        <v>41</v>
      </c>
      <c r="O170" s="8" t="s">
        <v>42</v>
      </c>
      <c r="P170" s="6" t="s">
        <v>54</v>
      </c>
      <c r="Q170" s="8" t="s">
        <v>55</v>
      </c>
      <c r="R170" s="10" t="s">
        <v>1117</v>
      </c>
      <c r="S170" s="11"/>
      <c r="T170" s="6"/>
      <c r="U170" s="28" t="str">
        <f>HYPERLINK("https://media.infra-m.ru/1072/1072241/cover/1072241.jpg", "Обложка")</f>
        <v>Обложка</v>
      </c>
      <c r="V170" s="28" t="str">
        <f>HYPERLINK("https://znanium.com/catalog/product/1981562", "Ознакомиться")</f>
        <v>Ознакомиться</v>
      </c>
      <c r="W170" s="8" t="s">
        <v>57</v>
      </c>
      <c r="X170" s="6"/>
      <c r="Y170" s="6"/>
      <c r="Z170" s="6"/>
      <c r="AA170" s="6" t="s">
        <v>1025</v>
      </c>
    </row>
    <row r="171" spans="1:27" s="4" customFormat="1" ht="44.1" customHeight="1">
      <c r="A171" s="5">
        <v>0</v>
      </c>
      <c r="B171" s="6" t="s">
        <v>1118</v>
      </c>
      <c r="C171" s="7">
        <v>850</v>
      </c>
      <c r="D171" s="8" t="s">
        <v>1119</v>
      </c>
      <c r="E171" s="8" t="s">
        <v>1114</v>
      </c>
      <c r="F171" s="8" t="s">
        <v>1115</v>
      </c>
      <c r="G171" s="6" t="s">
        <v>95</v>
      </c>
      <c r="H171" s="6" t="s">
        <v>52</v>
      </c>
      <c r="I171" s="8" t="s">
        <v>192</v>
      </c>
      <c r="J171" s="9">
        <v>1</v>
      </c>
      <c r="K171" s="9">
        <v>256</v>
      </c>
      <c r="L171" s="9">
        <v>2019</v>
      </c>
      <c r="M171" s="8" t="s">
        <v>1120</v>
      </c>
      <c r="N171" s="8" t="s">
        <v>41</v>
      </c>
      <c r="O171" s="8" t="s">
        <v>42</v>
      </c>
      <c r="P171" s="6" t="s">
        <v>54</v>
      </c>
      <c r="Q171" s="8" t="s">
        <v>194</v>
      </c>
      <c r="R171" s="10" t="s">
        <v>1121</v>
      </c>
      <c r="S171" s="11"/>
      <c r="T171" s="6"/>
      <c r="U171" s="28" t="str">
        <f>HYPERLINK("https://media.infra-m.ru/1029/1029667/cover/1029667.jpg", "Обложка")</f>
        <v>Обложка</v>
      </c>
      <c r="V171" s="28" t="str">
        <f>HYPERLINK("https://znanium.com/catalog/product/1029667", "Ознакомиться")</f>
        <v>Ознакомиться</v>
      </c>
      <c r="W171" s="8" t="s">
        <v>57</v>
      </c>
      <c r="X171" s="6"/>
      <c r="Y171" s="6"/>
      <c r="Z171" s="6" t="s">
        <v>1073</v>
      </c>
      <c r="AA171" s="6" t="s">
        <v>1122</v>
      </c>
    </row>
    <row r="172" spans="1:27" s="4" customFormat="1" ht="51.95" customHeight="1">
      <c r="A172" s="5">
        <v>0</v>
      </c>
      <c r="B172" s="6" t="s">
        <v>1123</v>
      </c>
      <c r="C172" s="13">
        <v>1200</v>
      </c>
      <c r="D172" s="8" t="s">
        <v>1124</v>
      </c>
      <c r="E172" s="8" t="s">
        <v>1125</v>
      </c>
      <c r="F172" s="8" t="s">
        <v>1115</v>
      </c>
      <c r="G172" s="6" t="s">
        <v>95</v>
      </c>
      <c r="H172" s="6" t="s">
        <v>52</v>
      </c>
      <c r="I172" s="8"/>
      <c r="J172" s="9">
        <v>1</v>
      </c>
      <c r="K172" s="9">
        <v>260</v>
      </c>
      <c r="L172" s="9">
        <v>2023</v>
      </c>
      <c r="M172" s="8" t="s">
        <v>1126</v>
      </c>
      <c r="N172" s="8" t="s">
        <v>41</v>
      </c>
      <c r="O172" s="8" t="s">
        <v>42</v>
      </c>
      <c r="P172" s="6" t="s">
        <v>54</v>
      </c>
      <c r="Q172" s="8" t="s">
        <v>55</v>
      </c>
      <c r="R172" s="10" t="s">
        <v>1117</v>
      </c>
      <c r="S172" s="11"/>
      <c r="T172" s="6"/>
      <c r="U172" s="28" t="str">
        <f>HYPERLINK("https://media.infra-m.ru/1981/1981562/cover/1981562.jpg", "Обложка")</f>
        <v>Обложка</v>
      </c>
      <c r="V172" s="28" t="str">
        <f>HYPERLINK("https://znanium.com/catalog/product/1981562", "Ознакомиться")</f>
        <v>Ознакомиться</v>
      </c>
      <c r="W172" s="8" t="s">
        <v>57</v>
      </c>
      <c r="X172" s="6" t="s">
        <v>1127</v>
      </c>
      <c r="Y172" s="6"/>
      <c r="Z172" s="6"/>
      <c r="AA172" s="6" t="s">
        <v>1128</v>
      </c>
    </row>
    <row r="173" spans="1:27" s="4" customFormat="1" ht="51.95" customHeight="1">
      <c r="A173" s="5">
        <v>0</v>
      </c>
      <c r="B173" s="6" t="s">
        <v>1129</v>
      </c>
      <c r="C173" s="7">
        <v>660</v>
      </c>
      <c r="D173" s="8" t="s">
        <v>1130</v>
      </c>
      <c r="E173" s="8" t="s">
        <v>1131</v>
      </c>
      <c r="F173" s="8" t="s">
        <v>1132</v>
      </c>
      <c r="G173" s="6" t="s">
        <v>37</v>
      </c>
      <c r="H173" s="6" t="s">
        <v>347</v>
      </c>
      <c r="I173" s="8"/>
      <c r="J173" s="9">
        <v>1</v>
      </c>
      <c r="K173" s="9">
        <v>100</v>
      </c>
      <c r="L173" s="9">
        <v>2023</v>
      </c>
      <c r="M173" s="8" t="s">
        <v>1133</v>
      </c>
      <c r="N173" s="8" t="s">
        <v>41</v>
      </c>
      <c r="O173" s="8" t="s">
        <v>97</v>
      </c>
      <c r="P173" s="6" t="s">
        <v>54</v>
      </c>
      <c r="Q173" s="8" t="s">
        <v>860</v>
      </c>
      <c r="R173" s="10" t="s">
        <v>1134</v>
      </c>
      <c r="S173" s="11"/>
      <c r="T173" s="6"/>
      <c r="U173" s="28" t="str">
        <f>HYPERLINK("https://media.infra-m.ru/2001/2001615/cover/2001615.jpg", "Обложка")</f>
        <v>Обложка</v>
      </c>
      <c r="V173" s="12"/>
      <c r="W173" s="8" t="s">
        <v>110</v>
      </c>
      <c r="X173" s="6" t="s">
        <v>546</v>
      </c>
      <c r="Y173" s="6"/>
      <c r="Z173" s="6"/>
      <c r="AA173" s="6" t="s">
        <v>112</v>
      </c>
    </row>
    <row r="174" spans="1:27" s="4" customFormat="1" ht="51.95" customHeight="1">
      <c r="A174" s="5">
        <v>0</v>
      </c>
      <c r="B174" s="6" t="s">
        <v>1135</v>
      </c>
      <c r="C174" s="7">
        <v>810</v>
      </c>
      <c r="D174" s="8" t="s">
        <v>1136</v>
      </c>
      <c r="E174" s="8" t="s">
        <v>1137</v>
      </c>
      <c r="F174" s="8" t="s">
        <v>1138</v>
      </c>
      <c r="G174" s="6" t="s">
        <v>37</v>
      </c>
      <c r="H174" s="6" t="s">
        <v>64</v>
      </c>
      <c r="I174" s="8" t="s">
        <v>39</v>
      </c>
      <c r="J174" s="9">
        <v>1</v>
      </c>
      <c r="K174" s="9">
        <v>176</v>
      </c>
      <c r="L174" s="9">
        <v>2024</v>
      </c>
      <c r="M174" s="8" t="s">
        <v>1139</v>
      </c>
      <c r="N174" s="8" t="s">
        <v>41</v>
      </c>
      <c r="O174" s="8" t="s">
        <v>42</v>
      </c>
      <c r="P174" s="6" t="s">
        <v>43</v>
      </c>
      <c r="Q174" s="8" t="s">
        <v>44</v>
      </c>
      <c r="R174" s="10" t="s">
        <v>1140</v>
      </c>
      <c r="S174" s="11"/>
      <c r="T174" s="6"/>
      <c r="U174" s="28" t="str">
        <f>HYPERLINK("https://media.infra-m.ru/2079/2079620/cover/2079620.jpg", "Обложка")</f>
        <v>Обложка</v>
      </c>
      <c r="V174" s="28" t="str">
        <f>HYPERLINK("https://znanium.com/catalog/product/2079620", "Ознакомиться")</f>
        <v>Ознакомиться</v>
      </c>
      <c r="W174" s="8" t="s">
        <v>1105</v>
      </c>
      <c r="X174" s="6"/>
      <c r="Y174" s="6"/>
      <c r="Z174" s="6"/>
      <c r="AA174" s="6" t="s">
        <v>90</v>
      </c>
    </row>
    <row r="175" spans="1:27" s="4" customFormat="1" ht="42" customHeight="1">
      <c r="A175" s="5">
        <v>0</v>
      </c>
      <c r="B175" s="6" t="s">
        <v>1141</v>
      </c>
      <c r="C175" s="7">
        <v>450</v>
      </c>
      <c r="D175" s="8" t="s">
        <v>1142</v>
      </c>
      <c r="E175" s="8" t="s">
        <v>1143</v>
      </c>
      <c r="F175" s="8" t="s">
        <v>1144</v>
      </c>
      <c r="G175" s="6" t="s">
        <v>37</v>
      </c>
      <c r="H175" s="6" t="s">
        <v>64</v>
      </c>
      <c r="I175" s="8" t="s">
        <v>39</v>
      </c>
      <c r="J175" s="9">
        <v>1</v>
      </c>
      <c r="K175" s="9">
        <v>132</v>
      </c>
      <c r="L175" s="9">
        <v>2019</v>
      </c>
      <c r="M175" s="8" t="s">
        <v>1145</v>
      </c>
      <c r="N175" s="8" t="s">
        <v>41</v>
      </c>
      <c r="O175" s="8" t="s">
        <v>97</v>
      </c>
      <c r="P175" s="6" t="s">
        <v>43</v>
      </c>
      <c r="Q175" s="8" t="s">
        <v>44</v>
      </c>
      <c r="R175" s="10" t="s">
        <v>422</v>
      </c>
      <c r="S175" s="11"/>
      <c r="T175" s="6"/>
      <c r="U175" s="28" t="str">
        <f>HYPERLINK("https://media.infra-m.ru/1002/1002056/cover/1002056.jpg", "Обложка")</f>
        <v>Обложка</v>
      </c>
      <c r="V175" s="28" t="str">
        <f>HYPERLINK("https://znanium.com/catalog/product/1002056", "Ознакомиться")</f>
        <v>Ознакомиться</v>
      </c>
      <c r="W175" s="8" t="s">
        <v>476</v>
      </c>
      <c r="X175" s="6"/>
      <c r="Y175" s="6"/>
      <c r="Z175" s="6"/>
      <c r="AA175" s="6" t="s">
        <v>317</v>
      </c>
    </row>
    <row r="176" spans="1:27" s="4" customFormat="1" ht="44.1" customHeight="1">
      <c r="A176" s="5">
        <v>0</v>
      </c>
      <c r="B176" s="6" t="s">
        <v>1146</v>
      </c>
      <c r="C176" s="7">
        <v>620</v>
      </c>
      <c r="D176" s="8" t="s">
        <v>1147</v>
      </c>
      <c r="E176" s="8" t="s">
        <v>1148</v>
      </c>
      <c r="F176" s="8" t="s">
        <v>1144</v>
      </c>
      <c r="G176" s="6" t="s">
        <v>37</v>
      </c>
      <c r="H176" s="6" t="s">
        <v>64</v>
      </c>
      <c r="I176" s="8" t="s">
        <v>39</v>
      </c>
      <c r="J176" s="9">
        <v>1</v>
      </c>
      <c r="K176" s="9">
        <v>181</v>
      </c>
      <c r="L176" s="9">
        <v>2019</v>
      </c>
      <c r="M176" s="8" t="s">
        <v>1149</v>
      </c>
      <c r="N176" s="8" t="s">
        <v>41</v>
      </c>
      <c r="O176" s="8" t="s">
        <v>97</v>
      </c>
      <c r="P176" s="6" t="s">
        <v>43</v>
      </c>
      <c r="Q176" s="8" t="s">
        <v>44</v>
      </c>
      <c r="R176" s="10" t="s">
        <v>1150</v>
      </c>
      <c r="S176" s="11"/>
      <c r="T176" s="6"/>
      <c r="U176" s="28" t="str">
        <f>HYPERLINK("https://media.infra-m.ru/1009/1009609/cover/1009609.jpg", "Обложка")</f>
        <v>Обложка</v>
      </c>
      <c r="V176" s="28" t="str">
        <f>HYPERLINK("https://znanium.com/catalog/product/1009609", "Ознакомиться")</f>
        <v>Ознакомиться</v>
      </c>
      <c r="W176" s="8" t="s">
        <v>476</v>
      </c>
      <c r="X176" s="6"/>
      <c r="Y176" s="6"/>
      <c r="Z176" s="6"/>
      <c r="AA176" s="6" t="s">
        <v>78</v>
      </c>
    </row>
    <row r="177" spans="1:27" s="4" customFormat="1" ht="51.95" customHeight="1">
      <c r="A177" s="5">
        <v>0</v>
      </c>
      <c r="B177" s="6" t="s">
        <v>1151</v>
      </c>
      <c r="C177" s="7">
        <v>990</v>
      </c>
      <c r="D177" s="8" t="s">
        <v>1152</v>
      </c>
      <c r="E177" s="8" t="s">
        <v>1153</v>
      </c>
      <c r="F177" s="8" t="s">
        <v>1154</v>
      </c>
      <c r="G177" s="6" t="s">
        <v>63</v>
      </c>
      <c r="H177" s="6" t="s">
        <v>64</v>
      </c>
      <c r="I177" s="8" t="s">
        <v>39</v>
      </c>
      <c r="J177" s="9">
        <v>1</v>
      </c>
      <c r="K177" s="9">
        <v>215</v>
      </c>
      <c r="L177" s="9">
        <v>2023</v>
      </c>
      <c r="M177" s="8" t="s">
        <v>1155</v>
      </c>
      <c r="N177" s="8" t="s">
        <v>41</v>
      </c>
      <c r="O177" s="8" t="s">
        <v>42</v>
      </c>
      <c r="P177" s="6" t="s">
        <v>43</v>
      </c>
      <c r="Q177" s="8" t="s">
        <v>44</v>
      </c>
      <c r="R177" s="10" t="s">
        <v>1156</v>
      </c>
      <c r="S177" s="11"/>
      <c r="T177" s="6"/>
      <c r="U177" s="28" t="str">
        <f>HYPERLINK("https://media.infra-m.ru/2010/2010558/cover/2010558.jpg", "Обложка")</f>
        <v>Обложка</v>
      </c>
      <c r="V177" s="28" t="str">
        <f>HYPERLINK("https://znanium.com/catalog/product/1911565", "Ознакомиться")</f>
        <v>Ознакомиться</v>
      </c>
      <c r="W177" s="8" t="s">
        <v>1157</v>
      </c>
      <c r="X177" s="6"/>
      <c r="Y177" s="6"/>
      <c r="Z177" s="6"/>
      <c r="AA177" s="6" t="s">
        <v>687</v>
      </c>
    </row>
    <row r="178" spans="1:27" s="4" customFormat="1" ht="51.95" customHeight="1">
      <c r="A178" s="5">
        <v>0</v>
      </c>
      <c r="B178" s="6" t="s">
        <v>1158</v>
      </c>
      <c r="C178" s="7">
        <v>724.9</v>
      </c>
      <c r="D178" s="8" t="s">
        <v>1159</v>
      </c>
      <c r="E178" s="8" t="s">
        <v>1160</v>
      </c>
      <c r="F178" s="8" t="s">
        <v>1161</v>
      </c>
      <c r="G178" s="6" t="s">
        <v>63</v>
      </c>
      <c r="H178" s="6" t="s">
        <v>52</v>
      </c>
      <c r="I178" s="8"/>
      <c r="J178" s="9">
        <v>1</v>
      </c>
      <c r="K178" s="9">
        <v>160</v>
      </c>
      <c r="L178" s="9">
        <v>2023</v>
      </c>
      <c r="M178" s="8" t="s">
        <v>1162</v>
      </c>
      <c r="N178" s="8" t="s">
        <v>41</v>
      </c>
      <c r="O178" s="8" t="s">
        <v>42</v>
      </c>
      <c r="P178" s="6" t="s">
        <v>54</v>
      </c>
      <c r="Q178" s="8" t="s">
        <v>55</v>
      </c>
      <c r="R178" s="10" t="s">
        <v>1163</v>
      </c>
      <c r="S178" s="11"/>
      <c r="T178" s="6"/>
      <c r="U178" s="28" t="str">
        <f>HYPERLINK("https://media.infra-m.ru/2024/2024017/cover/2024017.jpg", "Обложка")</f>
        <v>Обложка</v>
      </c>
      <c r="V178" s="28" t="str">
        <f>HYPERLINK("https://znanium.com/catalog/product/1938036", "Ознакомиться")</f>
        <v>Ознакомиться</v>
      </c>
      <c r="W178" s="8" t="s">
        <v>57</v>
      </c>
      <c r="X178" s="6"/>
      <c r="Y178" s="6"/>
      <c r="Z178" s="6"/>
      <c r="AA178" s="6" t="s">
        <v>71</v>
      </c>
    </row>
    <row r="179" spans="1:27" s="4" customFormat="1" ht="51.95" customHeight="1">
      <c r="A179" s="5">
        <v>0</v>
      </c>
      <c r="B179" s="6" t="s">
        <v>1164</v>
      </c>
      <c r="C179" s="7">
        <v>724.9</v>
      </c>
      <c r="D179" s="8" t="s">
        <v>1165</v>
      </c>
      <c r="E179" s="8" t="s">
        <v>1160</v>
      </c>
      <c r="F179" s="8" t="s">
        <v>1161</v>
      </c>
      <c r="G179" s="6" t="s">
        <v>95</v>
      </c>
      <c r="H179" s="6" t="s">
        <v>52</v>
      </c>
      <c r="I179" s="8" t="s">
        <v>192</v>
      </c>
      <c r="J179" s="9">
        <v>1</v>
      </c>
      <c r="K179" s="9">
        <v>160</v>
      </c>
      <c r="L179" s="9">
        <v>2023</v>
      </c>
      <c r="M179" s="8" t="s">
        <v>1166</v>
      </c>
      <c r="N179" s="8" t="s">
        <v>41</v>
      </c>
      <c r="O179" s="8" t="s">
        <v>42</v>
      </c>
      <c r="P179" s="6" t="s">
        <v>54</v>
      </c>
      <c r="Q179" s="8" t="s">
        <v>194</v>
      </c>
      <c r="R179" s="10" t="s">
        <v>1167</v>
      </c>
      <c r="S179" s="11"/>
      <c r="T179" s="6"/>
      <c r="U179" s="28" t="str">
        <f>HYPERLINK("https://media.infra-m.ru/1920/1920324/cover/1920324.jpg", "Обложка")</f>
        <v>Обложка</v>
      </c>
      <c r="V179" s="28" t="str">
        <f>HYPERLINK("https://znanium.com/catalog/product/1029665", "Ознакомиться")</f>
        <v>Ознакомиться</v>
      </c>
      <c r="W179" s="8" t="s">
        <v>57</v>
      </c>
      <c r="X179" s="6"/>
      <c r="Y179" s="6"/>
      <c r="Z179" s="6" t="s">
        <v>1073</v>
      </c>
      <c r="AA179" s="6" t="s">
        <v>166</v>
      </c>
    </row>
    <row r="180" spans="1:27" s="4" customFormat="1" ht="44.1" customHeight="1">
      <c r="A180" s="5">
        <v>0</v>
      </c>
      <c r="B180" s="6" t="s">
        <v>1168</v>
      </c>
      <c r="C180" s="7">
        <v>560</v>
      </c>
      <c r="D180" s="8" t="s">
        <v>1169</v>
      </c>
      <c r="E180" s="8" t="s">
        <v>1170</v>
      </c>
      <c r="F180" s="8" t="s">
        <v>1171</v>
      </c>
      <c r="G180" s="6" t="s">
        <v>37</v>
      </c>
      <c r="H180" s="6" t="s">
        <v>125</v>
      </c>
      <c r="I180" s="8" t="s">
        <v>1172</v>
      </c>
      <c r="J180" s="9">
        <v>1</v>
      </c>
      <c r="K180" s="9">
        <v>124</v>
      </c>
      <c r="L180" s="9">
        <v>2018</v>
      </c>
      <c r="M180" s="8" t="s">
        <v>1173</v>
      </c>
      <c r="N180" s="8" t="s">
        <v>41</v>
      </c>
      <c r="O180" s="8" t="s">
        <v>97</v>
      </c>
      <c r="P180" s="6" t="s">
        <v>43</v>
      </c>
      <c r="Q180" s="8" t="s">
        <v>467</v>
      </c>
      <c r="R180" s="10" t="s">
        <v>1174</v>
      </c>
      <c r="S180" s="11"/>
      <c r="T180" s="6"/>
      <c r="U180" s="28" t="str">
        <f>HYPERLINK("https://media.infra-m.ru/1941/1941776/cover/1941776.jpg", "Обложка")</f>
        <v>Обложка</v>
      </c>
      <c r="V180" s="28" t="str">
        <f>HYPERLINK("https://znanium.com/catalog/product/944427", "Ознакомиться")</f>
        <v>Ознакомиться</v>
      </c>
      <c r="W180" s="8" t="s">
        <v>110</v>
      </c>
      <c r="X180" s="6"/>
      <c r="Y180" s="6"/>
      <c r="Z180" s="6"/>
      <c r="AA180" s="6" t="s">
        <v>317</v>
      </c>
    </row>
    <row r="181" spans="1:27" s="4" customFormat="1" ht="51.95" customHeight="1">
      <c r="A181" s="5">
        <v>0</v>
      </c>
      <c r="B181" s="6" t="s">
        <v>1175</v>
      </c>
      <c r="C181" s="7">
        <v>610</v>
      </c>
      <c r="D181" s="8" t="s">
        <v>1176</v>
      </c>
      <c r="E181" s="8" t="s">
        <v>1177</v>
      </c>
      <c r="F181" s="8" t="s">
        <v>1178</v>
      </c>
      <c r="G181" s="6" t="s">
        <v>37</v>
      </c>
      <c r="H181" s="6" t="s">
        <v>52</v>
      </c>
      <c r="I181" s="8"/>
      <c r="J181" s="9">
        <v>1</v>
      </c>
      <c r="K181" s="9">
        <v>136</v>
      </c>
      <c r="L181" s="9">
        <v>2022</v>
      </c>
      <c r="M181" s="8" t="s">
        <v>1179</v>
      </c>
      <c r="N181" s="8" t="s">
        <v>41</v>
      </c>
      <c r="O181" s="8" t="s">
        <v>42</v>
      </c>
      <c r="P181" s="6" t="s">
        <v>54</v>
      </c>
      <c r="Q181" s="8" t="s">
        <v>55</v>
      </c>
      <c r="R181" s="10" t="s">
        <v>407</v>
      </c>
      <c r="S181" s="11"/>
      <c r="T181" s="6"/>
      <c r="U181" s="28" t="str">
        <f>HYPERLINK("https://media.infra-m.ru/1903/1903410/cover/1903410.jpg", "Обложка")</f>
        <v>Обложка</v>
      </c>
      <c r="V181" s="28" t="str">
        <f>HYPERLINK("https://znanium.com/catalog/product/1220284", "Ознакомиться")</f>
        <v>Ознакомиться</v>
      </c>
      <c r="W181" s="8" t="s">
        <v>1180</v>
      </c>
      <c r="X181" s="6"/>
      <c r="Y181" s="6"/>
      <c r="Z181" s="6"/>
      <c r="AA181" s="6" t="s">
        <v>401</v>
      </c>
    </row>
    <row r="182" spans="1:27" s="4" customFormat="1" ht="51.95" customHeight="1">
      <c r="A182" s="5">
        <v>0</v>
      </c>
      <c r="B182" s="6" t="s">
        <v>1181</v>
      </c>
      <c r="C182" s="13">
        <v>1324</v>
      </c>
      <c r="D182" s="8" t="s">
        <v>1182</v>
      </c>
      <c r="E182" s="8" t="s">
        <v>1183</v>
      </c>
      <c r="F182" s="8" t="s">
        <v>1184</v>
      </c>
      <c r="G182" s="6" t="s">
        <v>95</v>
      </c>
      <c r="H182" s="6" t="s">
        <v>347</v>
      </c>
      <c r="I182" s="8" t="s">
        <v>390</v>
      </c>
      <c r="J182" s="9">
        <v>1</v>
      </c>
      <c r="K182" s="9">
        <v>288</v>
      </c>
      <c r="L182" s="9">
        <v>2024</v>
      </c>
      <c r="M182" s="8" t="s">
        <v>1185</v>
      </c>
      <c r="N182" s="8" t="s">
        <v>41</v>
      </c>
      <c r="O182" s="8" t="s">
        <v>97</v>
      </c>
      <c r="P182" s="6" t="s">
        <v>54</v>
      </c>
      <c r="Q182" s="8" t="s">
        <v>86</v>
      </c>
      <c r="R182" s="10" t="s">
        <v>98</v>
      </c>
      <c r="S182" s="11" t="s">
        <v>1186</v>
      </c>
      <c r="T182" s="6"/>
      <c r="U182" s="28" t="str">
        <f>HYPERLINK("https://media.infra-m.ru/2087/2087283/cover/2087283.jpg", "Обложка")</f>
        <v>Обложка</v>
      </c>
      <c r="V182" s="28" t="str">
        <f>HYPERLINK("https://znanium.com/catalog/product/1009314", "Ознакомиться")</f>
        <v>Ознакомиться</v>
      </c>
      <c r="W182" s="8" t="s">
        <v>1187</v>
      </c>
      <c r="X182" s="6"/>
      <c r="Y182" s="6"/>
      <c r="Z182" s="6"/>
      <c r="AA182" s="6" t="s">
        <v>90</v>
      </c>
    </row>
    <row r="183" spans="1:27" s="4" customFormat="1" ht="42" customHeight="1">
      <c r="A183" s="5">
        <v>0</v>
      </c>
      <c r="B183" s="6" t="s">
        <v>1188</v>
      </c>
      <c r="C183" s="7">
        <v>789.9</v>
      </c>
      <c r="D183" s="8" t="s">
        <v>1189</v>
      </c>
      <c r="E183" s="8" t="s">
        <v>1190</v>
      </c>
      <c r="F183" s="8" t="s">
        <v>1191</v>
      </c>
      <c r="G183" s="6" t="s">
        <v>95</v>
      </c>
      <c r="H183" s="6" t="s">
        <v>52</v>
      </c>
      <c r="I183" s="8"/>
      <c r="J183" s="9">
        <v>1</v>
      </c>
      <c r="K183" s="9">
        <v>216</v>
      </c>
      <c r="L183" s="9">
        <v>2021</v>
      </c>
      <c r="M183" s="8" t="s">
        <v>1192</v>
      </c>
      <c r="N183" s="8" t="s">
        <v>41</v>
      </c>
      <c r="O183" s="8" t="s">
        <v>42</v>
      </c>
      <c r="P183" s="6" t="s">
        <v>54</v>
      </c>
      <c r="Q183" s="8" t="s">
        <v>134</v>
      </c>
      <c r="R183" s="10" t="s">
        <v>56</v>
      </c>
      <c r="S183" s="11"/>
      <c r="T183" s="6"/>
      <c r="U183" s="28" t="str">
        <f>HYPERLINK("https://media.infra-m.ru/1225/1225323/cover/1225323.jpg", "Обложка")</f>
        <v>Обложка</v>
      </c>
      <c r="V183" s="28" t="str">
        <f>HYPERLINK("https://znanium.com/catalog/product/1225323", "Ознакомиться")</f>
        <v>Ознакомиться</v>
      </c>
      <c r="W183" s="8" t="s">
        <v>57</v>
      </c>
      <c r="X183" s="6"/>
      <c r="Y183" s="6"/>
      <c r="Z183" s="6"/>
      <c r="AA183" s="6" t="s">
        <v>58</v>
      </c>
    </row>
    <row r="184" spans="1:27" s="4" customFormat="1" ht="42" customHeight="1">
      <c r="A184" s="5">
        <v>0</v>
      </c>
      <c r="B184" s="6" t="s">
        <v>1193</v>
      </c>
      <c r="C184" s="7">
        <v>864.9</v>
      </c>
      <c r="D184" s="8" t="s">
        <v>1194</v>
      </c>
      <c r="E184" s="8" t="s">
        <v>1195</v>
      </c>
      <c r="F184" s="8" t="s">
        <v>1196</v>
      </c>
      <c r="G184" s="6" t="s">
        <v>37</v>
      </c>
      <c r="H184" s="6" t="s">
        <v>347</v>
      </c>
      <c r="I184" s="8"/>
      <c r="J184" s="9">
        <v>1</v>
      </c>
      <c r="K184" s="9">
        <v>192</v>
      </c>
      <c r="L184" s="9">
        <v>2023</v>
      </c>
      <c r="M184" s="8" t="s">
        <v>1197</v>
      </c>
      <c r="N184" s="8" t="s">
        <v>41</v>
      </c>
      <c r="O184" s="8" t="s">
        <v>97</v>
      </c>
      <c r="P184" s="6" t="s">
        <v>54</v>
      </c>
      <c r="Q184" s="8" t="s">
        <v>86</v>
      </c>
      <c r="R184" s="10" t="s">
        <v>227</v>
      </c>
      <c r="S184" s="11"/>
      <c r="T184" s="6"/>
      <c r="U184" s="28" t="str">
        <f>HYPERLINK("https://media.infra-m.ru/1915/1915462/cover/1915462.jpg", "Обложка")</f>
        <v>Обложка</v>
      </c>
      <c r="V184" s="28" t="str">
        <f>HYPERLINK("https://znanium.com/catalog/product/1836620", "Ознакомиться")</f>
        <v>Ознакомиться</v>
      </c>
      <c r="W184" s="8" t="s">
        <v>1198</v>
      </c>
      <c r="X184" s="6"/>
      <c r="Y184" s="6"/>
      <c r="Z184" s="6"/>
      <c r="AA184" s="6" t="s">
        <v>360</v>
      </c>
    </row>
    <row r="185" spans="1:27" s="4" customFormat="1" ht="44.1" customHeight="1">
      <c r="A185" s="5">
        <v>0</v>
      </c>
      <c r="B185" s="6" t="s">
        <v>1199</v>
      </c>
      <c r="C185" s="7">
        <v>780</v>
      </c>
      <c r="D185" s="8" t="s">
        <v>1200</v>
      </c>
      <c r="E185" s="8" t="s">
        <v>1201</v>
      </c>
      <c r="F185" s="8" t="s">
        <v>1202</v>
      </c>
      <c r="G185" s="6" t="s">
        <v>37</v>
      </c>
      <c r="H185" s="6" t="s">
        <v>64</v>
      </c>
      <c r="I185" s="8" t="s">
        <v>39</v>
      </c>
      <c r="J185" s="9">
        <v>1</v>
      </c>
      <c r="K185" s="9">
        <v>168</v>
      </c>
      <c r="L185" s="9">
        <v>2024</v>
      </c>
      <c r="M185" s="8" t="s">
        <v>1203</v>
      </c>
      <c r="N185" s="8" t="s">
        <v>41</v>
      </c>
      <c r="O185" s="8" t="s">
        <v>97</v>
      </c>
      <c r="P185" s="6" t="s">
        <v>43</v>
      </c>
      <c r="Q185" s="8" t="s">
        <v>44</v>
      </c>
      <c r="R185" s="10" t="s">
        <v>1204</v>
      </c>
      <c r="S185" s="11"/>
      <c r="T185" s="6" t="s">
        <v>144</v>
      </c>
      <c r="U185" s="28" t="str">
        <f>HYPERLINK("https://media.infra-m.ru/2117/2117124/cover/2117124.jpg", "Обложка")</f>
        <v>Обложка</v>
      </c>
      <c r="V185" s="28" t="str">
        <f>HYPERLINK("https://znanium.com/catalog/product/2117124", "Ознакомиться")</f>
        <v>Ознакомиться</v>
      </c>
      <c r="W185" s="8" t="s">
        <v>159</v>
      </c>
      <c r="X185" s="6"/>
      <c r="Y185" s="6"/>
      <c r="Z185" s="6"/>
      <c r="AA185" s="6" t="s">
        <v>317</v>
      </c>
    </row>
    <row r="186" spans="1:27" s="4" customFormat="1" ht="51.95" customHeight="1">
      <c r="A186" s="5">
        <v>0</v>
      </c>
      <c r="B186" s="6" t="s">
        <v>1205</v>
      </c>
      <c r="C186" s="7">
        <v>570</v>
      </c>
      <c r="D186" s="8" t="s">
        <v>1206</v>
      </c>
      <c r="E186" s="8" t="s">
        <v>1207</v>
      </c>
      <c r="F186" s="8" t="s">
        <v>1208</v>
      </c>
      <c r="G186" s="6" t="s">
        <v>37</v>
      </c>
      <c r="H186" s="6" t="s">
        <v>329</v>
      </c>
      <c r="I186" s="8" t="s">
        <v>39</v>
      </c>
      <c r="J186" s="9">
        <v>1</v>
      </c>
      <c r="K186" s="9">
        <v>120</v>
      </c>
      <c r="L186" s="9">
        <v>2021</v>
      </c>
      <c r="M186" s="8" t="s">
        <v>1209</v>
      </c>
      <c r="N186" s="8" t="s">
        <v>41</v>
      </c>
      <c r="O186" s="8" t="s">
        <v>97</v>
      </c>
      <c r="P186" s="6" t="s">
        <v>43</v>
      </c>
      <c r="Q186" s="8" t="s">
        <v>44</v>
      </c>
      <c r="R186" s="10" t="s">
        <v>1210</v>
      </c>
      <c r="S186" s="11"/>
      <c r="T186" s="6"/>
      <c r="U186" s="28" t="str">
        <f>HYPERLINK("https://media.infra-m.ru/1245/1245076/cover/1245076.jpg", "Обложка")</f>
        <v>Обложка</v>
      </c>
      <c r="V186" s="28" t="str">
        <f>HYPERLINK("https://znanium.com/catalog/product/1245076", "Ознакомиться")</f>
        <v>Ознакомиться</v>
      </c>
      <c r="W186" s="8" t="s">
        <v>1211</v>
      </c>
      <c r="X186" s="6"/>
      <c r="Y186" s="6"/>
      <c r="Z186" s="6"/>
      <c r="AA186" s="6" t="s">
        <v>71</v>
      </c>
    </row>
    <row r="187" spans="1:27" s="4" customFormat="1" ht="44.1" customHeight="1">
      <c r="A187" s="5">
        <v>0</v>
      </c>
      <c r="B187" s="6" t="s">
        <v>1212</v>
      </c>
      <c r="C187" s="7">
        <v>914</v>
      </c>
      <c r="D187" s="8" t="s">
        <v>1213</v>
      </c>
      <c r="E187" s="8" t="s">
        <v>1214</v>
      </c>
      <c r="F187" s="8" t="s">
        <v>1215</v>
      </c>
      <c r="G187" s="6" t="s">
        <v>37</v>
      </c>
      <c r="H187" s="6" t="s">
        <v>52</v>
      </c>
      <c r="I187" s="8"/>
      <c r="J187" s="9">
        <v>1</v>
      </c>
      <c r="K187" s="9">
        <v>224</v>
      </c>
      <c r="L187" s="9">
        <v>2023</v>
      </c>
      <c r="M187" s="8" t="s">
        <v>1216</v>
      </c>
      <c r="N187" s="8" t="s">
        <v>41</v>
      </c>
      <c r="O187" s="8" t="s">
        <v>42</v>
      </c>
      <c r="P187" s="6" t="s">
        <v>43</v>
      </c>
      <c r="Q187" s="8" t="s">
        <v>467</v>
      </c>
      <c r="R187" s="10" t="s">
        <v>1217</v>
      </c>
      <c r="S187" s="11"/>
      <c r="T187" s="6"/>
      <c r="U187" s="28" t="str">
        <f>HYPERLINK("https://media.infra-m.ru/1993/1993466/cover/1993466.jpg", "Обложка")</f>
        <v>Обложка</v>
      </c>
      <c r="V187" s="28" t="str">
        <f>HYPERLINK("https://znanium.com/catalog/product/1776796", "Ознакомиться")</f>
        <v>Ознакомиться</v>
      </c>
      <c r="W187" s="8" t="s">
        <v>57</v>
      </c>
      <c r="X187" s="6"/>
      <c r="Y187" s="6"/>
      <c r="Z187" s="6"/>
      <c r="AA187" s="6" t="s">
        <v>90</v>
      </c>
    </row>
    <row r="188" spans="1:27" s="4" customFormat="1" ht="51.95" customHeight="1">
      <c r="A188" s="5">
        <v>0</v>
      </c>
      <c r="B188" s="6" t="s">
        <v>1218</v>
      </c>
      <c r="C188" s="7">
        <v>750</v>
      </c>
      <c r="D188" s="8" t="s">
        <v>1219</v>
      </c>
      <c r="E188" s="8" t="s">
        <v>1220</v>
      </c>
      <c r="F188" s="8" t="s">
        <v>1221</v>
      </c>
      <c r="G188" s="6" t="s">
        <v>37</v>
      </c>
      <c r="H188" s="6" t="s">
        <v>64</v>
      </c>
      <c r="I188" s="8" t="s">
        <v>1222</v>
      </c>
      <c r="J188" s="9">
        <v>1</v>
      </c>
      <c r="K188" s="9">
        <v>161</v>
      </c>
      <c r="L188" s="9">
        <v>2024</v>
      </c>
      <c r="M188" s="8" t="s">
        <v>1223</v>
      </c>
      <c r="N188" s="8" t="s">
        <v>41</v>
      </c>
      <c r="O188" s="8" t="s">
        <v>42</v>
      </c>
      <c r="P188" s="6" t="s">
        <v>43</v>
      </c>
      <c r="Q188" s="8" t="s">
        <v>44</v>
      </c>
      <c r="R188" s="10" t="s">
        <v>1224</v>
      </c>
      <c r="S188" s="11"/>
      <c r="T188" s="6"/>
      <c r="U188" s="28" t="str">
        <f>HYPERLINK("https://media.infra-m.ru/2104/2104852/cover/2104852.jpg", "Обложка")</f>
        <v>Обложка</v>
      </c>
      <c r="V188" s="28" t="str">
        <f>HYPERLINK("https://znanium.com/catalog/product/2104852", "Ознакомиться")</f>
        <v>Ознакомиться</v>
      </c>
      <c r="W188" s="8" t="s">
        <v>110</v>
      </c>
      <c r="X188" s="6"/>
      <c r="Y188" s="6"/>
      <c r="Z188" s="6"/>
      <c r="AA188" s="6" t="s">
        <v>166</v>
      </c>
    </row>
    <row r="189" spans="1:27" s="4" customFormat="1" ht="51.95" customHeight="1">
      <c r="A189" s="5">
        <v>0</v>
      </c>
      <c r="B189" s="6" t="s">
        <v>1225</v>
      </c>
      <c r="C189" s="7">
        <v>850</v>
      </c>
      <c r="D189" s="8" t="s">
        <v>1226</v>
      </c>
      <c r="E189" s="8" t="s">
        <v>1227</v>
      </c>
      <c r="F189" s="8" t="s">
        <v>1228</v>
      </c>
      <c r="G189" s="6" t="s">
        <v>63</v>
      </c>
      <c r="H189" s="6" t="s">
        <v>64</v>
      </c>
      <c r="I189" s="8" t="s">
        <v>65</v>
      </c>
      <c r="J189" s="9">
        <v>1</v>
      </c>
      <c r="K189" s="9">
        <v>249</v>
      </c>
      <c r="L189" s="9">
        <v>2020</v>
      </c>
      <c r="M189" s="8" t="s">
        <v>1229</v>
      </c>
      <c r="N189" s="8" t="s">
        <v>41</v>
      </c>
      <c r="O189" s="8" t="s">
        <v>97</v>
      </c>
      <c r="P189" s="6" t="s">
        <v>67</v>
      </c>
      <c r="Q189" s="8" t="s">
        <v>55</v>
      </c>
      <c r="R189" s="10" t="s">
        <v>227</v>
      </c>
      <c r="S189" s="11" t="s">
        <v>1230</v>
      </c>
      <c r="T189" s="6" t="s">
        <v>144</v>
      </c>
      <c r="U189" s="28" t="str">
        <f>HYPERLINK("https://media.infra-m.ru/1066/1066006/cover/1066006.jpg", "Обложка")</f>
        <v>Обложка</v>
      </c>
      <c r="V189" s="28" t="str">
        <f>HYPERLINK("https://znanium.com/catalog/product/2096839", "Ознакомиться")</f>
        <v>Ознакомиться</v>
      </c>
      <c r="W189" s="8" t="s">
        <v>120</v>
      </c>
      <c r="X189" s="6"/>
      <c r="Y189" s="6"/>
      <c r="Z189" s="6"/>
      <c r="AA189" s="6" t="s">
        <v>206</v>
      </c>
    </row>
    <row r="190" spans="1:27" s="4" customFormat="1" ht="51.95" customHeight="1">
      <c r="A190" s="5">
        <v>0</v>
      </c>
      <c r="B190" s="6" t="s">
        <v>1231</v>
      </c>
      <c r="C190" s="13">
        <v>1220</v>
      </c>
      <c r="D190" s="8" t="s">
        <v>1232</v>
      </c>
      <c r="E190" s="8" t="s">
        <v>1233</v>
      </c>
      <c r="F190" s="8" t="s">
        <v>1228</v>
      </c>
      <c r="G190" s="6" t="s">
        <v>63</v>
      </c>
      <c r="H190" s="6" t="s">
        <v>64</v>
      </c>
      <c r="I190" s="8" t="s">
        <v>1234</v>
      </c>
      <c r="J190" s="9">
        <v>1</v>
      </c>
      <c r="K190" s="9">
        <v>255</v>
      </c>
      <c r="L190" s="9">
        <v>2024</v>
      </c>
      <c r="M190" s="8" t="s">
        <v>1235</v>
      </c>
      <c r="N190" s="8" t="s">
        <v>41</v>
      </c>
      <c r="O190" s="8" t="s">
        <v>97</v>
      </c>
      <c r="P190" s="6" t="s">
        <v>67</v>
      </c>
      <c r="Q190" s="8" t="s">
        <v>86</v>
      </c>
      <c r="R190" s="10" t="s">
        <v>227</v>
      </c>
      <c r="S190" s="11" t="s">
        <v>1236</v>
      </c>
      <c r="T190" s="6" t="s">
        <v>144</v>
      </c>
      <c r="U190" s="28" t="str">
        <f>HYPERLINK("https://media.infra-m.ru/2096/2096839/cover/2096839.jpg", "Обложка")</f>
        <v>Обложка</v>
      </c>
      <c r="V190" s="28" t="str">
        <f>HYPERLINK("https://znanium.com/catalog/product/2096839", "Ознакомиться")</f>
        <v>Ознакомиться</v>
      </c>
      <c r="W190" s="8" t="s">
        <v>120</v>
      </c>
      <c r="X190" s="6"/>
      <c r="Y190" s="6"/>
      <c r="Z190" s="6"/>
      <c r="AA190" s="6" t="s">
        <v>299</v>
      </c>
    </row>
    <row r="191" spans="1:27" s="4" customFormat="1" ht="44.1" customHeight="1">
      <c r="A191" s="5">
        <v>0</v>
      </c>
      <c r="B191" s="6" t="s">
        <v>1237</v>
      </c>
      <c r="C191" s="7">
        <v>354.9</v>
      </c>
      <c r="D191" s="8" t="s">
        <v>1238</v>
      </c>
      <c r="E191" s="8" t="s">
        <v>1239</v>
      </c>
      <c r="F191" s="8" t="s">
        <v>1240</v>
      </c>
      <c r="G191" s="6" t="s">
        <v>37</v>
      </c>
      <c r="H191" s="6" t="s">
        <v>64</v>
      </c>
      <c r="I191" s="8" t="s">
        <v>39</v>
      </c>
      <c r="J191" s="9">
        <v>1</v>
      </c>
      <c r="K191" s="9">
        <v>132</v>
      </c>
      <c r="L191" s="9">
        <v>2017</v>
      </c>
      <c r="M191" s="8" t="s">
        <v>1241</v>
      </c>
      <c r="N191" s="8" t="s">
        <v>41</v>
      </c>
      <c r="O191" s="8" t="s">
        <v>97</v>
      </c>
      <c r="P191" s="6" t="s">
        <v>43</v>
      </c>
      <c r="Q191" s="8" t="s">
        <v>44</v>
      </c>
      <c r="R191" s="10" t="s">
        <v>1242</v>
      </c>
      <c r="S191" s="11"/>
      <c r="T191" s="6"/>
      <c r="U191" s="28" t="str">
        <f>HYPERLINK("https://media.infra-m.ru/0917/0917961/cover/917961.jpg", "Обложка")</f>
        <v>Обложка</v>
      </c>
      <c r="V191" s="28" t="str">
        <f>HYPERLINK("https://znanium.com/catalog/product/997029", "Ознакомиться")</f>
        <v>Ознакомиться</v>
      </c>
      <c r="W191" s="8" t="s">
        <v>110</v>
      </c>
      <c r="X191" s="6"/>
      <c r="Y191" s="6"/>
      <c r="Z191" s="6"/>
      <c r="AA191" s="6" t="s">
        <v>317</v>
      </c>
    </row>
    <row r="192" spans="1:27" s="4" customFormat="1" ht="44.1" customHeight="1">
      <c r="A192" s="5">
        <v>0</v>
      </c>
      <c r="B192" s="6" t="s">
        <v>1243</v>
      </c>
      <c r="C192" s="7">
        <v>400</v>
      </c>
      <c r="D192" s="8" t="s">
        <v>1244</v>
      </c>
      <c r="E192" s="8" t="s">
        <v>1245</v>
      </c>
      <c r="F192" s="8" t="s">
        <v>1240</v>
      </c>
      <c r="G192" s="6" t="s">
        <v>37</v>
      </c>
      <c r="H192" s="6" t="s">
        <v>64</v>
      </c>
      <c r="I192" s="8" t="s">
        <v>39</v>
      </c>
      <c r="J192" s="9">
        <v>1</v>
      </c>
      <c r="K192" s="9">
        <v>132</v>
      </c>
      <c r="L192" s="9">
        <v>2018</v>
      </c>
      <c r="M192" s="8" t="s">
        <v>1241</v>
      </c>
      <c r="N192" s="8" t="s">
        <v>41</v>
      </c>
      <c r="O192" s="8" t="s">
        <v>97</v>
      </c>
      <c r="P192" s="6" t="s">
        <v>43</v>
      </c>
      <c r="Q192" s="8" t="s">
        <v>44</v>
      </c>
      <c r="R192" s="10" t="s">
        <v>1242</v>
      </c>
      <c r="S192" s="11"/>
      <c r="T192" s="6" t="s">
        <v>144</v>
      </c>
      <c r="U192" s="28" t="str">
        <f>HYPERLINK("https://media.infra-m.ru/0958/0958343/cover/958343.jpg", "Обложка")</f>
        <v>Обложка</v>
      </c>
      <c r="V192" s="28" t="str">
        <f>HYPERLINK("https://znanium.com/catalog/product/997029", "Ознакомиться")</f>
        <v>Ознакомиться</v>
      </c>
      <c r="W192" s="8" t="s">
        <v>110</v>
      </c>
      <c r="X192" s="6"/>
      <c r="Y192" s="6"/>
      <c r="Z192" s="6"/>
      <c r="AA192" s="6" t="s">
        <v>180</v>
      </c>
    </row>
    <row r="193" spans="1:27" s="4" customFormat="1" ht="44.1" customHeight="1">
      <c r="A193" s="5">
        <v>0</v>
      </c>
      <c r="B193" s="6" t="s">
        <v>1246</v>
      </c>
      <c r="C193" s="7">
        <v>500</v>
      </c>
      <c r="D193" s="8" t="s">
        <v>1247</v>
      </c>
      <c r="E193" s="8" t="s">
        <v>1248</v>
      </c>
      <c r="F193" s="8" t="s">
        <v>1249</v>
      </c>
      <c r="G193" s="6" t="s">
        <v>37</v>
      </c>
      <c r="H193" s="6" t="s">
        <v>64</v>
      </c>
      <c r="I193" s="8" t="s">
        <v>1222</v>
      </c>
      <c r="J193" s="9">
        <v>1</v>
      </c>
      <c r="K193" s="9">
        <v>146</v>
      </c>
      <c r="L193" s="9">
        <v>2019</v>
      </c>
      <c r="M193" s="8" t="s">
        <v>1250</v>
      </c>
      <c r="N193" s="8" t="s">
        <v>41</v>
      </c>
      <c r="O193" s="8" t="s">
        <v>97</v>
      </c>
      <c r="P193" s="6" t="s">
        <v>43</v>
      </c>
      <c r="Q193" s="8" t="s">
        <v>44</v>
      </c>
      <c r="R193" s="10" t="s">
        <v>1242</v>
      </c>
      <c r="S193" s="11"/>
      <c r="T193" s="6" t="s">
        <v>144</v>
      </c>
      <c r="U193" s="28" t="str">
        <f>HYPERLINK("https://media.infra-m.ru/0997/0997029/cover/997029.jpg", "Обложка")</f>
        <v>Обложка</v>
      </c>
      <c r="V193" s="28" t="str">
        <f>HYPERLINK("https://znanium.com/catalog/product/997029", "Ознакомиться")</f>
        <v>Ознакомиться</v>
      </c>
      <c r="W193" s="8" t="s">
        <v>110</v>
      </c>
      <c r="X193" s="6"/>
      <c r="Y193" s="6"/>
      <c r="Z193" s="6"/>
      <c r="AA193" s="6" t="s">
        <v>1122</v>
      </c>
    </row>
    <row r="194" spans="1:27" s="4" customFormat="1" ht="42" customHeight="1">
      <c r="A194" s="5">
        <v>0</v>
      </c>
      <c r="B194" s="6" t="s">
        <v>1251</v>
      </c>
      <c r="C194" s="7">
        <v>770</v>
      </c>
      <c r="D194" s="8" t="s">
        <v>1252</v>
      </c>
      <c r="E194" s="8" t="s">
        <v>1253</v>
      </c>
      <c r="F194" s="8" t="s">
        <v>1254</v>
      </c>
      <c r="G194" s="6" t="s">
        <v>37</v>
      </c>
      <c r="H194" s="6" t="s">
        <v>64</v>
      </c>
      <c r="I194" s="8" t="s">
        <v>39</v>
      </c>
      <c r="J194" s="9">
        <v>1</v>
      </c>
      <c r="K194" s="9">
        <v>184</v>
      </c>
      <c r="L194" s="9">
        <v>2022</v>
      </c>
      <c r="M194" s="8" t="s">
        <v>1255</v>
      </c>
      <c r="N194" s="8" t="s">
        <v>41</v>
      </c>
      <c r="O194" s="8" t="s">
        <v>97</v>
      </c>
      <c r="P194" s="6" t="s">
        <v>43</v>
      </c>
      <c r="Q194" s="8" t="s">
        <v>44</v>
      </c>
      <c r="R194" s="10" t="s">
        <v>1256</v>
      </c>
      <c r="S194" s="11"/>
      <c r="T194" s="6"/>
      <c r="U194" s="28" t="str">
        <f>HYPERLINK("https://media.infra-m.ru/1864/1864077/cover/1864077.jpg", "Обложка")</f>
        <v>Обложка</v>
      </c>
      <c r="V194" s="28" t="str">
        <f>HYPERLINK("https://znanium.com/catalog/product/1864077", "Ознакомиться")</f>
        <v>Ознакомиться</v>
      </c>
      <c r="W194" s="8" t="s">
        <v>120</v>
      </c>
      <c r="X194" s="6"/>
      <c r="Y194" s="6"/>
      <c r="Z194" s="6"/>
      <c r="AA194" s="6" t="s">
        <v>58</v>
      </c>
    </row>
    <row r="195" spans="1:27" s="4" customFormat="1" ht="51.95" customHeight="1">
      <c r="A195" s="5">
        <v>0</v>
      </c>
      <c r="B195" s="6" t="s">
        <v>1257</v>
      </c>
      <c r="C195" s="13">
        <v>1094</v>
      </c>
      <c r="D195" s="8" t="s">
        <v>1258</v>
      </c>
      <c r="E195" s="8" t="s">
        <v>1259</v>
      </c>
      <c r="F195" s="8" t="s">
        <v>1260</v>
      </c>
      <c r="G195" s="6" t="s">
        <v>63</v>
      </c>
      <c r="H195" s="6" t="s">
        <v>64</v>
      </c>
      <c r="I195" s="8" t="s">
        <v>65</v>
      </c>
      <c r="J195" s="9">
        <v>1</v>
      </c>
      <c r="K195" s="9">
        <v>238</v>
      </c>
      <c r="L195" s="9">
        <v>2024</v>
      </c>
      <c r="M195" s="8" t="s">
        <v>1261</v>
      </c>
      <c r="N195" s="8" t="s">
        <v>41</v>
      </c>
      <c r="O195" s="8" t="s">
        <v>97</v>
      </c>
      <c r="P195" s="6" t="s">
        <v>54</v>
      </c>
      <c r="Q195" s="8" t="s">
        <v>55</v>
      </c>
      <c r="R195" s="10" t="s">
        <v>98</v>
      </c>
      <c r="S195" s="11" t="s">
        <v>1262</v>
      </c>
      <c r="T195" s="6"/>
      <c r="U195" s="28" t="str">
        <f>HYPERLINK("https://media.infra-m.ru/2104/2104841/cover/2104841.jpg", "Обложка")</f>
        <v>Обложка</v>
      </c>
      <c r="V195" s="28" t="str">
        <f>HYPERLINK("https://znanium.com/catalog/product/1215340", "Ознакомиться")</f>
        <v>Ознакомиться</v>
      </c>
      <c r="W195" s="8" t="s">
        <v>647</v>
      </c>
      <c r="X195" s="6"/>
      <c r="Y195" s="6"/>
      <c r="Z195" s="6"/>
      <c r="AA195" s="6" t="s">
        <v>166</v>
      </c>
    </row>
    <row r="196" spans="1:27" s="4" customFormat="1" ht="51.95" customHeight="1">
      <c r="A196" s="5">
        <v>0</v>
      </c>
      <c r="B196" s="6" t="s">
        <v>1263</v>
      </c>
      <c r="C196" s="7">
        <v>580</v>
      </c>
      <c r="D196" s="8" t="s">
        <v>1264</v>
      </c>
      <c r="E196" s="8" t="s">
        <v>1265</v>
      </c>
      <c r="F196" s="8" t="s">
        <v>1100</v>
      </c>
      <c r="G196" s="6" t="s">
        <v>37</v>
      </c>
      <c r="H196" s="6" t="s">
        <v>64</v>
      </c>
      <c r="I196" s="8" t="s">
        <v>39</v>
      </c>
      <c r="J196" s="9">
        <v>1</v>
      </c>
      <c r="K196" s="9">
        <v>184</v>
      </c>
      <c r="L196" s="9">
        <v>2018</v>
      </c>
      <c r="M196" s="8" t="s">
        <v>1266</v>
      </c>
      <c r="N196" s="8" t="s">
        <v>41</v>
      </c>
      <c r="O196" s="8" t="s">
        <v>42</v>
      </c>
      <c r="P196" s="6" t="s">
        <v>43</v>
      </c>
      <c r="Q196" s="8" t="s">
        <v>44</v>
      </c>
      <c r="R196" s="10" t="s">
        <v>1267</v>
      </c>
      <c r="S196" s="11"/>
      <c r="T196" s="6"/>
      <c r="U196" s="28" t="str">
        <f>HYPERLINK("https://media.infra-m.ru/0944/0944384/cover/944384.jpg", "Обложка")</f>
        <v>Обложка</v>
      </c>
      <c r="V196" s="28" t="str">
        <f>HYPERLINK("https://znanium.com/catalog/product/1843574", "Ознакомиться")</f>
        <v>Ознакомиться</v>
      </c>
      <c r="W196" s="8" t="s">
        <v>1105</v>
      </c>
      <c r="X196" s="6"/>
      <c r="Y196" s="6"/>
      <c r="Z196" s="6"/>
      <c r="AA196" s="6" t="s">
        <v>251</v>
      </c>
    </row>
    <row r="197" spans="1:27" s="4" customFormat="1" ht="51.95" customHeight="1">
      <c r="A197" s="5">
        <v>0</v>
      </c>
      <c r="B197" s="6" t="s">
        <v>1268</v>
      </c>
      <c r="C197" s="7">
        <v>984.9</v>
      </c>
      <c r="D197" s="8" t="s">
        <v>1269</v>
      </c>
      <c r="E197" s="8" t="s">
        <v>1270</v>
      </c>
      <c r="F197" s="8" t="s">
        <v>1100</v>
      </c>
      <c r="G197" s="6" t="s">
        <v>95</v>
      </c>
      <c r="H197" s="6" t="s">
        <v>64</v>
      </c>
      <c r="I197" s="8" t="s">
        <v>39</v>
      </c>
      <c r="J197" s="9">
        <v>1</v>
      </c>
      <c r="K197" s="9">
        <v>253</v>
      </c>
      <c r="L197" s="9">
        <v>2022</v>
      </c>
      <c r="M197" s="8" t="s">
        <v>1271</v>
      </c>
      <c r="N197" s="8" t="s">
        <v>41</v>
      </c>
      <c r="O197" s="8" t="s">
        <v>42</v>
      </c>
      <c r="P197" s="6" t="s">
        <v>43</v>
      </c>
      <c r="Q197" s="8" t="s">
        <v>44</v>
      </c>
      <c r="R197" s="10" t="s">
        <v>1267</v>
      </c>
      <c r="S197" s="11"/>
      <c r="T197" s="6"/>
      <c r="U197" s="28" t="str">
        <f>HYPERLINK("https://media.infra-m.ru/1843/1843574/cover/1843574.jpg", "Обложка")</f>
        <v>Обложка</v>
      </c>
      <c r="V197" s="28" t="str">
        <f>HYPERLINK("https://znanium.com/catalog/product/1843574", "Ознакомиться")</f>
        <v>Ознакомиться</v>
      </c>
      <c r="W197" s="8" t="s">
        <v>1105</v>
      </c>
      <c r="X197" s="6"/>
      <c r="Y197" s="6"/>
      <c r="Z197" s="6"/>
      <c r="AA197" s="6" t="s">
        <v>244</v>
      </c>
    </row>
    <row r="198" spans="1:27" s="4" customFormat="1" ht="51.95" customHeight="1">
      <c r="A198" s="5">
        <v>0</v>
      </c>
      <c r="B198" s="6" t="s">
        <v>1272</v>
      </c>
      <c r="C198" s="7">
        <v>620</v>
      </c>
      <c r="D198" s="8" t="s">
        <v>1273</v>
      </c>
      <c r="E198" s="8" t="s">
        <v>1274</v>
      </c>
      <c r="F198" s="8" t="s">
        <v>1275</v>
      </c>
      <c r="G198" s="6" t="s">
        <v>37</v>
      </c>
      <c r="H198" s="6" t="s">
        <v>64</v>
      </c>
      <c r="I198" s="8" t="s">
        <v>39</v>
      </c>
      <c r="J198" s="9">
        <v>1</v>
      </c>
      <c r="K198" s="9">
        <v>178</v>
      </c>
      <c r="L198" s="9">
        <v>2018</v>
      </c>
      <c r="M198" s="8" t="s">
        <v>1276</v>
      </c>
      <c r="N198" s="8" t="s">
        <v>41</v>
      </c>
      <c r="O198" s="8" t="s">
        <v>97</v>
      </c>
      <c r="P198" s="6" t="s">
        <v>43</v>
      </c>
      <c r="Q198" s="8" t="s">
        <v>134</v>
      </c>
      <c r="R198" s="10" t="s">
        <v>1277</v>
      </c>
      <c r="S198" s="11"/>
      <c r="T198" s="6"/>
      <c r="U198" s="28" t="str">
        <f>HYPERLINK("https://media.infra-m.ru/0973/0973383/cover/973383.jpg", "Обложка")</f>
        <v>Обложка</v>
      </c>
      <c r="V198" s="28" t="str">
        <f>HYPERLINK("https://znanium.com/catalog/product/973383", "Ознакомиться")</f>
        <v>Ознакомиться</v>
      </c>
      <c r="W198" s="8" t="s">
        <v>110</v>
      </c>
      <c r="X198" s="6"/>
      <c r="Y198" s="6"/>
      <c r="Z198" s="6"/>
      <c r="AA198" s="6" t="s">
        <v>78</v>
      </c>
    </row>
    <row r="199" spans="1:27" s="4" customFormat="1" ht="51.95" customHeight="1">
      <c r="A199" s="5">
        <v>0</v>
      </c>
      <c r="B199" s="6" t="s">
        <v>1278</v>
      </c>
      <c r="C199" s="7">
        <v>894.9</v>
      </c>
      <c r="D199" s="8" t="s">
        <v>1279</v>
      </c>
      <c r="E199" s="8" t="s">
        <v>1280</v>
      </c>
      <c r="F199" s="8" t="s">
        <v>1281</v>
      </c>
      <c r="G199" s="6" t="s">
        <v>95</v>
      </c>
      <c r="H199" s="6" t="s">
        <v>64</v>
      </c>
      <c r="I199" s="8" t="s">
        <v>83</v>
      </c>
      <c r="J199" s="9">
        <v>1</v>
      </c>
      <c r="K199" s="9">
        <v>247</v>
      </c>
      <c r="L199" s="9">
        <v>2018</v>
      </c>
      <c r="M199" s="8" t="s">
        <v>1282</v>
      </c>
      <c r="N199" s="8" t="s">
        <v>41</v>
      </c>
      <c r="O199" s="8" t="s">
        <v>42</v>
      </c>
      <c r="P199" s="6" t="s">
        <v>54</v>
      </c>
      <c r="Q199" s="8" t="s">
        <v>86</v>
      </c>
      <c r="R199" s="10" t="s">
        <v>1283</v>
      </c>
      <c r="S199" s="11"/>
      <c r="T199" s="6"/>
      <c r="U199" s="28" t="str">
        <f>HYPERLINK("https://media.infra-m.ru/1003/1003678/cover/1003678.jpg", "Обложка")</f>
        <v>Обложка</v>
      </c>
      <c r="V199" s="28" t="str">
        <f>HYPERLINK("https://znanium.com/catalog/product/1241806", "Ознакомиться")</f>
        <v>Ознакомиться</v>
      </c>
      <c r="W199" s="8" t="s">
        <v>1284</v>
      </c>
      <c r="X199" s="6"/>
      <c r="Y199" s="6"/>
      <c r="Z199" s="6"/>
      <c r="AA199" s="6" t="s">
        <v>71</v>
      </c>
    </row>
    <row r="200" spans="1:27" s="4" customFormat="1" ht="51.95" customHeight="1">
      <c r="A200" s="5">
        <v>0</v>
      </c>
      <c r="B200" s="6" t="s">
        <v>1285</v>
      </c>
      <c r="C200" s="13">
        <v>1230</v>
      </c>
      <c r="D200" s="8" t="s">
        <v>1286</v>
      </c>
      <c r="E200" s="8" t="s">
        <v>1287</v>
      </c>
      <c r="F200" s="8" t="s">
        <v>1288</v>
      </c>
      <c r="G200" s="6" t="s">
        <v>95</v>
      </c>
      <c r="H200" s="6" t="s">
        <v>38</v>
      </c>
      <c r="I200" s="8" t="s">
        <v>185</v>
      </c>
      <c r="J200" s="9">
        <v>1</v>
      </c>
      <c r="K200" s="9">
        <v>345</v>
      </c>
      <c r="L200" s="9">
        <v>2020</v>
      </c>
      <c r="M200" s="8" t="s">
        <v>1289</v>
      </c>
      <c r="N200" s="8" t="s">
        <v>41</v>
      </c>
      <c r="O200" s="8" t="s">
        <v>97</v>
      </c>
      <c r="P200" s="6" t="s">
        <v>67</v>
      </c>
      <c r="Q200" s="8" t="s">
        <v>134</v>
      </c>
      <c r="R200" s="10" t="s">
        <v>1290</v>
      </c>
      <c r="S200" s="11"/>
      <c r="T200" s="6"/>
      <c r="U200" s="28" t="str">
        <f>HYPERLINK("https://media.infra-m.ru/1088/1088721/cover/1088721.jpg", "Обложка")</f>
        <v>Обложка</v>
      </c>
      <c r="V200" s="28" t="str">
        <f>HYPERLINK("https://znanium.com/catalog/product/1088721", "Ознакомиться")</f>
        <v>Ознакомиться</v>
      </c>
      <c r="W200" s="8" t="s">
        <v>1291</v>
      </c>
      <c r="X200" s="6"/>
      <c r="Y200" s="6"/>
      <c r="Z200" s="6"/>
      <c r="AA200" s="6" t="s">
        <v>401</v>
      </c>
    </row>
    <row r="201" spans="1:27" s="4" customFormat="1" ht="51.95" customHeight="1">
      <c r="A201" s="5">
        <v>0</v>
      </c>
      <c r="B201" s="6" t="s">
        <v>1292</v>
      </c>
      <c r="C201" s="13">
        <v>1294.9000000000001</v>
      </c>
      <c r="D201" s="8" t="s">
        <v>1293</v>
      </c>
      <c r="E201" s="8" t="s">
        <v>1294</v>
      </c>
      <c r="F201" s="8" t="s">
        <v>1295</v>
      </c>
      <c r="G201" s="6" t="s">
        <v>95</v>
      </c>
      <c r="H201" s="6" t="s">
        <v>64</v>
      </c>
      <c r="I201" s="8" t="s">
        <v>83</v>
      </c>
      <c r="J201" s="9">
        <v>1</v>
      </c>
      <c r="K201" s="9">
        <v>444</v>
      </c>
      <c r="L201" s="9">
        <v>2018</v>
      </c>
      <c r="M201" s="8" t="s">
        <v>1296</v>
      </c>
      <c r="N201" s="8" t="s">
        <v>41</v>
      </c>
      <c r="O201" s="8" t="s">
        <v>97</v>
      </c>
      <c r="P201" s="6" t="s">
        <v>67</v>
      </c>
      <c r="Q201" s="8" t="s">
        <v>86</v>
      </c>
      <c r="R201" s="10" t="s">
        <v>1297</v>
      </c>
      <c r="S201" s="11" t="s">
        <v>1298</v>
      </c>
      <c r="T201" s="6"/>
      <c r="U201" s="28" t="str">
        <f>HYPERLINK("https://media.infra-m.ru/0981/0981154/cover/981154.jpg", "Обложка")</f>
        <v>Обложка</v>
      </c>
      <c r="V201" s="28" t="str">
        <f>HYPERLINK("https://znanium.com/catalog/product/1940921", "Ознакомиться")</f>
        <v>Ознакомиться</v>
      </c>
      <c r="W201" s="8" t="s">
        <v>737</v>
      </c>
      <c r="X201" s="6"/>
      <c r="Y201" s="6"/>
      <c r="Z201" s="6"/>
      <c r="AA201" s="6" t="s">
        <v>1299</v>
      </c>
    </row>
    <row r="202" spans="1:27" s="4" customFormat="1" ht="51.95" customHeight="1">
      <c r="A202" s="5">
        <v>0</v>
      </c>
      <c r="B202" s="6" t="s">
        <v>1300</v>
      </c>
      <c r="C202" s="13">
        <v>1994.9</v>
      </c>
      <c r="D202" s="8" t="s">
        <v>1301</v>
      </c>
      <c r="E202" s="8" t="s">
        <v>1302</v>
      </c>
      <c r="F202" s="8" t="s">
        <v>1295</v>
      </c>
      <c r="G202" s="6" t="s">
        <v>63</v>
      </c>
      <c r="H202" s="6" t="s">
        <v>64</v>
      </c>
      <c r="I202" s="8" t="s">
        <v>83</v>
      </c>
      <c r="J202" s="9">
        <v>1</v>
      </c>
      <c r="K202" s="9">
        <v>445</v>
      </c>
      <c r="L202" s="9">
        <v>2022</v>
      </c>
      <c r="M202" s="8" t="s">
        <v>1303</v>
      </c>
      <c r="N202" s="8" t="s">
        <v>41</v>
      </c>
      <c r="O202" s="8" t="s">
        <v>97</v>
      </c>
      <c r="P202" s="6" t="s">
        <v>67</v>
      </c>
      <c r="Q202" s="8" t="s">
        <v>86</v>
      </c>
      <c r="R202" s="10" t="s">
        <v>1297</v>
      </c>
      <c r="S202" s="11" t="s">
        <v>1298</v>
      </c>
      <c r="T202" s="6"/>
      <c r="U202" s="28" t="str">
        <f>HYPERLINK("https://media.infra-m.ru/1897/1897323/cover/1897323.jpg", "Обложка")</f>
        <v>Обложка</v>
      </c>
      <c r="V202" s="28" t="str">
        <f>HYPERLINK("https://znanium.com/catalog/product/1940921", "Ознакомиться")</f>
        <v>Ознакомиться</v>
      </c>
      <c r="W202" s="8" t="s">
        <v>737</v>
      </c>
      <c r="X202" s="6"/>
      <c r="Y202" s="6"/>
      <c r="Z202" s="6"/>
      <c r="AA202" s="6" t="s">
        <v>1304</v>
      </c>
    </row>
    <row r="203" spans="1:27" s="4" customFormat="1" ht="51.95" customHeight="1">
      <c r="A203" s="5">
        <v>0</v>
      </c>
      <c r="B203" s="6" t="s">
        <v>1305</v>
      </c>
      <c r="C203" s="13">
        <v>1690</v>
      </c>
      <c r="D203" s="8" t="s">
        <v>1306</v>
      </c>
      <c r="E203" s="8" t="s">
        <v>1302</v>
      </c>
      <c r="F203" s="8" t="s">
        <v>1295</v>
      </c>
      <c r="G203" s="6" t="s">
        <v>63</v>
      </c>
      <c r="H203" s="6" t="s">
        <v>64</v>
      </c>
      <c r="I203" s="8" t="s">
        <v>192</v>
      </c>
      <c r="J203" s="9">
        <v>1</v>
      </c>
      <c r="K203" s="9">
        <v>445</v>
      </c>
      <c r="L203" s="9">
        <v>2022</v>
      </c>
      <c r="M203" s="8" t="s">
        <v>1307</v>
      </c>
      <c r="N203" s="8" t="s">
        <v>41</v>
      </c>
      <c r="O203" s="8" t="s">
        <v>97</v>
      </c>
      <c r="P203" s="6" t="s">
        <v>67</v>
      </c>
      <c r="Q203" s="8" t="s">
        <v>194</v>
      </c>
      <c r="R203" s="10" t="s">
        <v>350</v>
      </c>
      <c r="S203" s="11" t="s">
        <v>1308</v>
      </c>
      <c r="T203" s="6"/>
      <c r="U203" s="28" t="str">
        <f>HYPERLINK("https://media.infra-m.ru/1864/1864084/cover/1864084.jpg", "Обложка")</f>
        <v>Обложка</v>
      </c>
      <c r="V203" s="28" t="str">
        <f>HYPERLINK("https://znanium.com/catalog/product/1864084", "Ознакомиться")</f>
        <v>Ознакомиться</v>
      </c>
      <c r="W203" s="8" t="s">
        <v>737</v>
      </c>
      <c r="X203" s="6"/>
      <c r="Y203" s="6"/>
      <c r="Z203" s="6" t="s">
        <v>197</v>
      </c>
      <c r="AA203" s="6" t="s">
        <v>1309</v>
      </c>
    </row>
    <row r="204" spans="1:27" s="4" customFormat="1" ht="44.1" customHeight="1">
      <c r="A204" s="5">
        <v>0</v>
      </c>
      <c r="B204" s="6" t="s">
        <v>1310</v>
      </c>
      <c r="C204" s="7">
        <v>644.9</v>
      </c>
      <c r="D204" s="8" t="s">
        <v>1311</v>
      </c>
      <c r="E204" s="8" t="s">
        <v>1312</v>
      </c>
      <c r="F204" s="8" t="s">
        <v>1313</v>
      </c>
      <c r="G204" s="6" t="s">
        <v>95</v>
      </c>
      <c r="H204" s="6" t="s">
        <v>347</v>
      </c>
      <c r="I204" s="8"/>
      <c r="J204" s="9">
        <v>1</v>
      </c>
      <c r="K204" s="9">
        <v>144</v>
      </c>
      <c r="L204" s="9">
        <v>2023</v>
      </c>
      <c r="M204" s="8" t="s">
        <v>1314</v>
      </c>
      <c r="N204" s="8" t="s">
        <v>41</v>
      </c>
      <c r="O204" s="8" t="s">
        <v>97</v>
      </c>
      <c r="P204" s="6" t="s">
        <v>54</v>
      </c>
      <c r="Q204" s="8" t="s">
        <v>55</v>
      </c>
      <c r="R204" s="10" t="s">
        <v>323</v>
      </c>
      <c r="S204" s="11"/>
      <c r="T204" s="6"/>
      <c r="U204" s="28" t="str">
        <f>HYPERLINK("https://media.infra-m.ru/1903/1903308/cover/1903308.jpg", "Обложка")</f>
        <v>Обложка</v>
      </c>
      <c r="V204" s="28" t="str">
        <f>HYPERLINK("https://znanium.com/catalog/product/1010031", "Ознакомиться")</f>
        <v>Ознакомиться</v>
      </c>
      <c r="W204" s="8" t="s">
        <v>1315</v>
      </c>
      <c r="X204" s="6"/>
      <c r="Y204" s="6"/>
      <c r="Z204" s="6"/>
      <c r="AA204" s="6" t="s">
        <v>317</v>
      </c>
    </row>
    <row r="205" spans="1:27" s="4" customFormat="1" ht="51.95" customHeight="1">
      <c r="A205" s="5">
        <v>0</v>
      </c>
      <c r="B205" s="6" t="s">
        <v>1316</v>
      </c>
      <c r="C205" s="7">
        <v>650</v>
      </c>
      <c r="D205" s="8" t="s">
        <v>1317</v>
      </c>
      <c r="E205" s="8" t="s">
        <v>1318</v>
      </c>
      <c r="F205" s="8" t="s">
        <v>1319</v>
      </c>
      <c r="G205" s="6" t="s">
        <v>37</v>
      </c>
      <c r="H205" s="6" t="s">
        <v>64</v>
      </c>
      <c r="I205" s="8"/>
      <c r="J205" s="9">
        <v>1</v>
      </c>
      <c r="K205" s="9">
        <v>166</v>
      </c>
      <c r="L205" s="9">
        <v>2022</v>
      </c>
      <c r="M205" s="8" t="s">
        <v>1320</v>
      </c>
      <c r="N205" s="8" t="s">
        <v>41</v>
      </c>
      <c r="O205" s="8" t="s">
        <v>42</v>
      </c>
      <c r="P205" s="6" t="s">
        <v>43</v>
      </c>
      <c r="Q205" s="8" t="s">
        <v>44</v>
      </c>
      <c r="R205" s="10" t="s">
        <v>1321</v>
      </c>
      <c r="S205" s="11"/>
      <c r="T205" s="6"/>
      <c r="U205" s="28" t="str">
        <f>HYPERLINK("https://media.infra-m.ru/1854/1854748/cover/1854748.jpg", "Обложка")</f>
        <v>Обложка</v>
      </c>
      <c r="V205" s="28" t="str">
        <f>HYPERLINK("https://znanium.com/catalog/product/1854748", "Ознакомиться")</f>
        <v>Ознакомиться</v>
      </c>
      <c r="W205" s="8" t="s">
        <v>57</v>
      </c>
      <c r="X205" s="6"/>
      <c r="Y205" s="6"/>
      <c r="Z205" s="6"/>
      <c r="AA205" s="6" t="s">
        <v>166</v>
      </c>
    </row>
    <row r="206" spans="1:27" s="4" customFormat="1" ht="51.95" customHeight="1">
      <c r="A206" s="5">
        <v>0</v>
      </c>
      <c r="B206" s="6" t="s">
        <v>1322</v>
      </c>
      <c r="C206" s="7">
        <v>674.9</v>
      </c>
      <c r="D206" s="8" t="s">
        <v>1323</v>
      </c>
      <c r="E206" s="8" t="s">
        <v>1324</v>
      </c>
      <c r="F206" s="8" t="s">
        <v>1325</v>
      </c>
      <c r="G206" s="6" t="s">
        <v>37</v>
      </c>
      <c r="H206" s="6" t="s">
        <v>64</v>
      </c>
      <c r="I206" s="8" t="s">
        <v>83</v>
      </c>
      <c r="J206" s="9">
        <v>1</v>
      </c>
      <c r="K206" s="9">
        <v>151</v>
      </c>
      <c r="L206" s="9">
        <v>2023</v>
      </c>
      <c r="M206" s="8" t="s">
        <v>1326</v>
      </c>
      <c r="N206" s="8" t="s">
        <v>41</v>
      </c>
      <c r="O206" s="8" t="s">
        <v>97</v>
      </c>
      <c r="P206" s="6" t="s">
        <v>54</v>
      </c>
      <c r="Q206" s="8" t="s">
        <v>86</v>
      </c>
      <c r="R206" s="10" t="s">
        <v>323</v>
      </c>
      <c r="S206" s="11" t="s">
        <v>1327</v>
      </c>
      <c r="T206" s="6"/>
      <c r="U206" s="28" t="str">
        <f>HYPERLINK("https://media.infra-m.ru/1894/1894416/cover/1894416.jpg", "Обложка")</f>
        <v>Обложка</v>
      </c>
      <c r="V206" s="28" t="str">
        <f>HYPERLINK("https://znanium.com/catalog/product/1852210", "Ознакомиться")</f>
        <v>Ознакомиться</v>
      </c>
      <c r="W206" s="8" t="s">
        <v>1328</v>
      </c>
      <c r="X206" s="6"/>
      <c r="Y206" s="6"/>
      <c r="Z206" s="6"/>
      <c r="AA206" s="6" t="s">
        <v>317</v>
      </c>
    </row>
    <row r="207" spans="1:27" s="4" customFormat="1" ht="42" customHeight="1">
      <c r="A207" s="5">
        <v>0</v>
      </c>
      <c r="B207" s="6" t="s">
        <v>1329</v>
      </c>
      <c r="C207" s="13">
        <v>1020</v>
      </c>
      <c r="D207" s="8" t="s">
        <v>1330</v>
      </c>
      <c r="E207" s="8" t="s">
        <v>1331</v>
      </c>
      <c r="F207" s="8" t="s">
        <v>1332</v>
      </c>
      <c r="G207" s="6" t="s">
        <v>95</v>
      </c>
      <c r="H207" s="6" t="s">
        <v>52</v>
      </c>
      <c r="I207" s="8"/>
      <c r="J207" s="9">
        <v>1</v>
      </c>
      <c r="K207" s="9">
        <v>216</v>
      </c>
      <c r="L207" s="9">
        <v>2023</v>
      </c>
      <c r="M207" s="8" t="s">
        <v>1333</v>
      </c>
      <c r="N207" s="8" t="s">
        <v>41</v>
      </c>
      <c r="O207" s="8" t="s">
        <v>42</v>
      </c>
      <c r="P207" s="6" t="s">
        <v>54</v>
      </c>
      <c r="Q207" s="8" t="s">
        <v>55</v>
      </c>
      <c r="R207" s="10" t="s">
        <v>1334</v>
      </c>
      <c r="S207" s="11"/>
      <c r="T207" s="6"/>
      <c r="U207" s="28" t="str">
        <f>HYPERLINK("https://media.infra-m.ru/1915/1915618/cover/1915618.jpg", "Обложка")</f>
        <v>Обложка</v>
      </c>
      <c r="V207" s="28" t="str">
        <f>HYPERLINK("https://znanium.com/catalog/product/1915618", "Ознакомиться")</f>
        <v>Ознакомиться</v>
      </c>
      <c r="W207" s="8" t="s">
        <v>1335</v>
      </c>
      <c r="X207" s="6" t="s">
        <v>1336</v>
      </c>
      <c r="Y207" s="6"/>
      <c r="Z207" s="6"/>
      <c r="AA207" s="6" t="s">
        <v>112</v>
      </c>
    </row>
    <row r="208" spans="1:27" s="4" customFormat="1" ht="51.95" customHeight="1">
      <c r="A208" s="5">
        <v>0</v>
      </c>
      <c r="B208" s="6" t="s">
        <v>1337</v>
      </c>
      <c r="C208" s="7">
        <v>820</v>
      </c>
      <c r="D208" s="8" t="s">
        <v>1338</v>
      </c>
      <c r="E208" s="8" t="s">
        <v>1339</v>
      </c>
      <c r="F208" s="8" t="s">
        <v>1340</v>
      </c>
      <c r="G208" s="6" t="s">
        <v>37</v>
      </c>
      <c r="H208" s="6" t="s">
        <v>38</v>
      </c>
      <c r="I208" s="8" t="s">
        <v>39</v>
      </c>
      <c r="J208" s="9">
        <v>1</v>
      </c>
      <c r="K208" s="9">
        <v>227</v>
      </c>
      <c r="L208" s="9">
        <v>2019</v>
      </c>
      <c r="M208" s="8" t="s">
        <v>1341</v>
      </c>
      <c r="N208" s="8" t="s">
        <v>41</v>
      </c>
      <c r="O208" s="8" t="s">
        <v>85</v>
      </c>
      <c r="P208" s="6" t="s">
        <v>43</v>
      </c>
      <c r="Q208" s="8" t="s">
        <v>44</v>
      </c>
      <c r="R208" s="10" t="s">
        <v>1342</v>
      </c>
      <c r="S208" s="11"/>
      <c r="T208" s="6"/>
      <c r="U208" s="28" t="str">
        <f>HYPERLINK("https://media.infra-m.ru/0989/0989758/cover/989758.jpg", "Обложка")</f>
        <v>Обложка</v>
      </c>
      <c r="V208" s="28" t="str">
        <f>HYPERLINK("https://znanium.com/catalog/product/989758", "Ознакомиться")</f>
        <v>Ознакомиться</v>
      </c>
      <c r="W208" s="8" t="s">
        <v>796</v>
      </c>
      <c r="X208" s="6"/>
      <c r="Y208" s="6"/>
      <c r="Z208" s="6"/>
      <c r="AA208" s="6" t="s">
        <v>317</v>
      </c>
    </row>
    <row r="209" spans="1:27" s="4" customFormat="1" ht="51.95" customHeight="1">
      <c r="A209" s="5">
        <v>0</v>
      </c>
      <c r="B209" s="6" t="s">
        <v>1343</v>
      </c>
      <c r="C209" s="13">
        <v>1000</v>
      </c>
      <c r="D209" s="8" t="s">
        <v>1344</v>
      </c>
      <c r="E209" s="8" t="s">
        <v>1345</v>
      </c>
      <c r="F209" s="8" t="s">
        <v>1346</v>
      </c>
      <c r="G209" s="6" t="s">
        <v>63</v>
      </c>
      <c r="H209" s="6" t="s">
        <v>64</v>
      </c>
      <c r="I209" s="8" t="s">
        <v>185</v>
      </c>
      <c r="J209" s="9">
        <v>1</v>
      </c>
      <c r="K209" s="9">
        <v>216</v>
      </c>
      <c r="L209" s="9">
        <v>2024</v>
      </c>
      <c r="M209" s="8" t="s">
        <v>1347</v>
      </c>
      <c r="N209" s="8" t="s">
        <v>41</v>
      </c>
      <c r="O209" s="8" t="s">
        <v>97</v>
      </c>
      <c r="P209" s="6" t="s">
        <v>54</v>
      </c>
      <c r="Q209" s="8" t="s">
        <v>86</v>
      </c>
      <c r="R209" s="10" t="s">
        <v>1348</v>
      </c>
      <c r="S209" s="11" t="s">
        <v>1349</v>
      </c>
      <c r="T209" s="6" t="s">
        <v>144</v>
      </c>
      <c r="U209" s="28" t="str">
        <f>HYPERLINK("https://media.infra-m.ru/2093/2093915/cover/2093915.jpg", "Обложка")</f>
        <v>Обложка</v>
      </c>
      <c r="V209" s="28" t="str">
        <f>HYPERLINK("https://znanium.com/catalog/product/2093915", "Ознакомиться")</f>
        <v>Ознакомиться</v>
      </c>
      <c r="W209" s="8" t="s">
        <v>400</v>
      </c>
      <c r="X209" s="6"/>
      <c r="Y209" s="6"/>
      <c r="Z209" s="6"/>
      <c r="AA209" s="6" t="s">
        <v>90</v>
      </c>
    </row>
    <row r="210" spans="1:27" s="4" customFormat="1" ht="51.95" customHeight="1">
      <c r="A210" s="5">
        <v>0</v>
      </c>
      <c r="B210" s="6" t="s">
        <v>1350</v>
      </c>
      <c r="C210" s="13">
        <v>1570</v>
      </c>
      <c r="D210" s="8" t="s">
        <v>1351</v>
      </c>
      <c r="E210" s="8" t="s">
        <v>1352</v>
      </c>
      <c r="F210" s="8" t="s">
        <v>1353</v>
      </c>
      <c r="G210" s="6" t="s">
        <v>63</v>
      </c>
      <c r="H210" s="6" t="s">
        <v>64</v>
      </c>
      <c r="I210" s="8" t="s">
        <v>185</v>
      </c>
      <c r="J210" s="9">
        <v>1</v>
      </c>
      <c r="K210" s="9">
        <v>348</v>
      </c>
      <c r="L210" s="9">
        <v>2023</v>
      </c>
      <c r="M210" s="8" t="s">
        <v>1354</v>
      </c>
      <c r="N210" s="8" t="s">
        <v>41</v>
      </c>
      <c r="O210" s="8" t="s">
        <v>97</v>
      </c>
      <c r="P210" s="6" t="s">
        <v>54</v>
      </c>
      <c r="Q210" s="8" t="s">
        <v>134</v>
      </c>
      <c r="R210" s="10" t="s">
        <v>1355</v>
      </c>
      <c r="S210" s="11" t="s">
        <v>1356</v>
      </c>
      <c r="T210" s="6"/>
      <c r="U210" s="28" t="str">
        <f>HYPERLINK("https://media.infra-m.ru/2008/2008759/cover/2008759.jpg", "Обложка")</f>
        <v>Обложка</v>
      </c>
      <c r="V210" s="28" t="str">
        <f>HYPERLINK("https://znanium.com/catalog/product/2008759", "Ознакомиться")</f>
        <v>Ознакомиться</v>
      </c>
      <c r="W210" s="8" t="s">
        <v>1357</v>
      </c>
      <c r="X210" s="6"/>
      <c r="Y210" s="6"/>
      <c r="Z210" s="6"/>
      <c r="AA210" s="6" t="s">
        <v>610</v>
      </c>
    </row>
    <row r="211" spans="1:27" s="4" customFormat="1" ht="51.95" customHeight="1">
      <c r="A211" s="5">
        <v>0</v>
      </c>
      <c r="B211" s="6" t="s">
        <v>1358</v>
      </c>
      <c r="C211" s="13">
        <v>2174</v>
      </c>
      <c r="D211" s="8" t="s">
        <v>1359</v>
      </c>
      <c r="E211" s="8" t="s">
        <v>1360</v>
      </c>
      <c r="F211" s="8" t="s">
        <v>415</v>
      </c>
      <c r="G211" s="6" t="s">
        <v>63</v>
      </c>
      <c r="H211" s="6" t="s">
        <v>64</v>
      </c>
      <c r="I211" s="8" t="s">
        <v>83</v>
      </c>
      <c r="J211" s="9">
        <v>1</v>
      </c>
      <c r="K211" s="9">
        <v>483</v>
      </c>
      <c r="L211" s="9">
        <v>2023</v>
      </c>
      <c r="M211" s="8" t="s">
        <v>1361</v>
      </c>
      <c r="N211" s="8" t="s">
        <v>41</v>
      </c>
      <c r="O211" s="8" t="s">
        <v>97</v>
      </c>
      <c r="P211" s="6" t="s">
        <v>67</v>
      </c>
      <c r="Q211" s="8" t="s">
        <v>86</v>
      </c>
      <c r="R211" s="10" t="s">
        <v>1362</v>
      </c>
      <c r="S211" s="11" t="s">
        <v>1363</v>
      </c>
      <c r="T211" s="6"/>
      <c r="U211" s="28" t="str">
        <f>HYPERLINK("https://media.infra-m.ru/2002/2002609/cover/2002609.jpg", "Обложка")</f>
        <v>Обложка</v>
      </c>
      <c r="V211" s="28" t="str">
        <f>HYPERLINK("https://znanium.com/catalog/product/1005922", "Ознакомиться")</f>
        <v>Ознакомиться</v>
      </c>
      <c r="W211" s="8" t="s">
        <v>100</v>
      </c>
      <c r="X211" s="6"/>
      <c r="Y211" s="6"/>
      <c r="Z211" s="6"/>
      <c r="AA211" s="6" t="s">
        <v>127</v>
      </c>
    </row>
    <row r="212" spans="1:27" s="4" customFormat="1" ht="51.95" customHeight="1">
      <c r="A212" s="5">
        <v>0</v>
      </c>
      <c r="B212" s="6" t="s">
        <v>1364</v>
      </c>
      <c r="C212" s="13">
        <v>2444.9</v>
      </c>
      <c r="D212" s="8" t="s">
        <v>1365</v>
      </c>
      <c r="E212" s="8" t="s">
        <v>1366</v>
      </c>
      <c r="F212" s="8" t="s">
        <v>1367</v>
      </c>
      <c r="G212" s="6" t="s">
        <v>95</v>
      </c>
      <c r="H212" s="6" t="s">
        <v>64</v>
      </c>
      <c r="I212" s="8" t="s">
        <v>83</v>
      </c>
      <c r="J212" s="9">
        <v>1</v>
      </c>
      <c r="K212" s="9">
        <v>592</v>
      </c>
      <c r="L212" s="9">
        <v>2023</v>
      </c>
      <c r="M212" s="8" t="s">
        <v>1368</v>
      </c>
      <c r="N212" s="8" t="s">
        <v>41</v>
      </c>
      <c r="O212" s="8" t="s">
        <v>97</v>
      </c>
      <c r="P212" s="6" t="s">
        <v>67</v>
      </c>
      <c r="Q212" s="8" t="s">
        <v>86</v>
      </c>
      <c r="R212" s="10" t="s">
        <v>323</v>
      </c>
      <c r="S212" s="11" t="s">
        <v>1369</v>
      </c>
      <c r="T212" s="6"/>
      <c r="U212" s="28" t="str">
        <f>HYPERLINK("https://media.infra-m.ru/1906/1906700/cover/1906700.jpg", "Обложка")</f>
        <v>Обложка</v>
      </c>
      <c r="V212" s="28" t="str">
        <f>HYPERLINK("https://znanium.com/catalog/product/1842535", "Ознакомиться")</f>
        <v>Ознакомиться</v>
      </c>
      <c r="W212" s="8" t="s">
        <v>120</v>
      </c>
      <c r="X212" s="6"/>
      <c r="Y212" s="6"/>
      <c r="Z212" s="6"/>
      <c r="AA212" s="6" t="s">
        <v>251</v>
      </c>
    </row>
    <row r="213" spans="1:27" s="4" customFormat="1" ht="51.95" customHeight="1">
      <c r="A213" s="5">
        <v>0</v>
      </c>
      <c r="B213" s="6" t="s">
        <v>1370</v>
      </c>
      <c r="C213" s="7">
        <v>714</v>
      </c>
      <c r="D213" s="8" t="s">
        <v>1371</v>
      </c>
      <c r="E213" s="8" t="s">
        <v>1366</v>
      </c>
      <c r="F213" s="8" t="s">
        <v>1372</v>
      </c>
      <c r="G213" s="6" t="s">
        <v>95</v>
      </c>
      <c r="H213" s="6" t="s">
        <v>38</v>
      </c>
      <c r="I213" s="8" t="s">
        <v>83</v>
      </c>
      <c r="J213" s="9">
        <v>1</v>
      </c>
      <c r="K213" s="9">
        <v>155</v>
      </c>
      <c r="L213" s="9">
        <v>2023</v>
      </c>
      <c r="M213" s="8" t="s">
        <v>1373</v>
      </c>
      <c r="N213" s="8" t="s">
        <v>41</v>
      </c>
      <c r="O213" s="8" t="s">
        <v>97</v>
      </c>
      <c r="P213" s="6" t="s">
        <v>54</v>
      </c>
      <c r="Q213" s="8" t="s">
        <v>86</v>
      </c>
      <c r="R213" s="10" t="s">
        <v>1374</v>
      </c>
      <c r="S213" s="11" t="s">
        <v>1375</v>
      </c>
      <c r="T213" s="6"/>
      <c r="U213" s="28" t="str">
        <f>HYPERLINK("https://media.infra-m.ru/1913/1913819/cover/1913819.jpg", "Обложка")</f>
        <v>Обложка</v>
      </c>
      <c r="V213" s="28" t="str">
        <f>HYPERLINK("https://znanium.com/catalog/product/1062369", "Ознакомиться")</f>
        <v>Ознакомиться</v>
      </c>
      <c r="W213" s="8" t="s">
        <v>1085</v>
      </c>
      <c r="X213" s="6"/>
      <c r="Y213" s="6"/>
      <c r="Z213" s="6"/>
      <c r="AA213" s="6" t="s">
        <v>90</v>
      </c>
    </row>
    <row r="214" spans="1:27" s="4" customFormat="1" ht="51.95" customHeight="1">
      <c r="A214" s="5">
        <v>0</v>
      </c>
      <c r="B214" s="6" t="s">
        <v>1376</v>
      </c>
      <c r="C214" s="13">
        <v>1304</v>
      </c>
      <c r="D214" s="8" t="s">
        <v>1377</v>
      </c>
      <c r="E214" s="8" t="s">
        <v>1366</v>
      </c>
      <c r="F214" s="8" t="s">
        <v>1378</v>
      </c>
      <c r="G214" s="6" t="s">
        <v>95</v>
      </c>
      <c r="H214" s="6" t="s">
        <v>125</v>
      </c>
      <c r="I214" s="8"/>
      <c r="J214" s="9">
        <v>1</v>
      </c>
      <c r="K214" s="9">
        <v>288</v>
      </c>
      <c r="L214" s="9">
        <v>2023</v>
      </c>
      <c r="M214" s="8" t="s">
        <v>1379</v>
      </c>
      <c r="N214" s="8" t="s">
        <v>41</v>
      </c>
      <c r="O214" s="8" t="s">
        <v>97</v>
      </c>
      <c r="P214" s="6" t="s">
        <v>54</v>
      </c>
      <c r="Q214" s="8" t="s">
        <v>86</v>
      </c>
      <c r="R214" s="10" t="s">
        <v>1380</v>
      </c>
      <c r="S214" s="11" t="s">
        <v>1381</v>
      </c>
      <c r="T214" s="6"/>
      <c r="U214" s="28" t="str">
        <f>HYPERLINK("https://media.infra-m.ru/1913/1913820/cover/1913820.jpg", "Обложка")</f>
        <v>Обложка</v>
      </c>
      <c r="V214" s="28" t="str">
        <f>HYPERLINK("https://znanium.com/catalog/product/1851448", "Ознакомиться")</f>
        <v>Ознакомиться</v>
      </c>
      <c r="W214" s="8" t="s">
        <v>100</v>
      </c>
      <c r="X214" s="6"/>
      <c r="Y214" s="6"/>
      <c r="Z214" s="6"/>
      <c r="AA214" s="6" t="s">
        <v>90</v>
      </c>
    </row>
    <row r="215" spans="1:27" s="4" customFormat="1" ht="42" customHeight="1">
      <c r="A215" s="5">
        <v>0</v>
      </c>
      <c r="B215" s="6" t="s">
        <v>1382</v>
      </c>
      <c r="C215" s="7">
        <v>124.9</v>
      </c>
      <c r="D215" s="8" t="s">
        <v>1383</v>
      </c>
      <c r="E215" s="8" t="s">
        <v>1366</v>
      </c>
      <c r="F215" s="8" t="s">
        <v>1384</v>
      </c>
      <c r="G215" s="6" t="s">
        <v>26</v>
      </c>
      <c r="H215" s="6" t="s">
        <v>38</v>
      </c>
      <c r="I215" s="8" t="s">
        <v>1385</v>
      </c>
      <c r="J215" s="9">
        <v>50</v>
      </c>
      <c r="K215" s="9">
        <v>128</v>
      </c>
      <c r="L215" s="9">
        <v>2016</v>
      </c>
      <c r="M215" s="8" t="s">
        <v>1386</v>
      </c>
      <c r="N215" s="8" t="s">
        <v>41</v>
      </c>
      <c r="O215" s="8" t="s">
        <v>97</v>
      </c>
      <c r="P215" s="6" t="s">
        <v>54</v>
      </c>
      <c r="Q215" s="8" t="s">
        <v>86</v>
      </c>
      <c r="R215" s="10"/>
      <c r="S215" s="11"/>
      <c r="T215" s="6"/>
      <c r="U215" s="28" t="str">
        <f>HYPERLINK("https://media.infra-m.ru/0510/0510424/cover/510424.jpg", "Обложка")</f>
        <v>Обложка</v>
      </c>
      <c r="V215" s="12"/>
      <c r="W215" s="8"/>
      <c r="X215" s="6"/>
      <c r="Y215" s="6"/>
      <c r="Z215" s="6"/>
      <c r="AA215" s="6" t="s">
        <v>1387</v>
      </c>
    </row>
    <row r="216" spans="1:27" s="4" customFormat="1" ht="51.95" customHeight="1">
      <c r="A216" s="5">
        <v>0</v>
      </c>
      <c r="B216" s="6" t="s">
        <v>1388</v>
      </c>
      <c r="C216" s="13">
        <v>2230</v>
      </c>
      <c r="D216" s="8" t="s">
        <v>1389</v>
      </c>
      <c r="E216" s="8" t="s">
        <v>1366</v>
      </c>
      <c r="F216" s="8" t="s">
        <v>1390</v>
      </c>
      <c r="G216" s="6" t="s">
        <v>63</v>
      </c>
      <c r="H216" s="6" t="s">
        <v>347</v>
      </c>
      <c r="I216" s="8"/>
      <c r="J216" s="9">
        <v>1</v>
      </c>
      <c r="K216" s="9">
        <v>496</v>
      </c>
      <c r="L216" s="9">
        <v>2023</v>
      </c>
      <c r="M216" s="8" t="s">
        <v>1391</v>
      </c>
      <c r="N216" s="8" t="s">
        <v>41</v>
      </c>
      <c r="O216" s="8" t="s">
        <v>97</v>
      </c>
      <c r="P216" s="6" t="s">
        <v>54</v>
      </c>
      <c r="Q216" s="8" t="s">
        <v>86</v>
      </c>
      <c r="R216" s="10" t="s">
        <v>1392</v>
      </c>
      <c r="S216" s="11" t="s">
        <v>1393</v>
      </c>
      <c r="T216" s="6"/>
      <c r="U216" s="28" t="str">
        <f>HYPERLINK("https://media.infra-m.ru/1933/1933179/cover/1933179.jpg", "Обложка")</f>
        <v>Обложка</v>
      </c>
      <c r="V216" s="28" t="str">
        <f>HYPERLINK("https://znanium.com/catalog/product/1933179", "Ознакомиться")</f>
        <v>Ознакомиться</v>
      </c>
      <c r="W216" s="8" t="s">
        <v>110</v>
      </c>
      <c r="X216" s="6"/>
      <c r="Y216" s="6"/>
      <c r="Z216" s="6"/>
      <c r="AA216" s="6" t="s">
        <v>360</v>
      </c>
    </row>
    <row r="217" spans="1:27" s="4" customFormat="1" ht="44.1" customHeight="1">
      <c r="A217" s="5">
        <v>0</v>
      </c>
      <c r="B217" s="6" t="s">
        <v>1394</v>
      </c>
      <c r="C217" s="7">
        <v>104.9</v>
      </c>
      <c r="D217" s="8" t="s">
        <v>1395</v>
      </c>
      <c r="E217" s="8" t="s">
        <v>1366</v>
      </c>
      <c r="F217" s="8"/>
      <c r="G217" s="6" t="s">
        <v>37</v>
      </c>
      <c r="H217" s="6" t="s">
        <v>38</v>
      </c>
      <c r="I217" s="8" t="s">
        <v>303</v>
      </c>
      <c r="J217" s="9">
        <v>1</v>
      </c>
      <c r="K217" s="9">
        <v>94</v>
      </c>
      <c r="L217" s="9">
        <v>2020</v>
      </c>
      <c r="M217" s="8" t="s">
        <v>1396</v>
      </c>
      <c r="N217" s="8" t="s">
        <v>41</v>
      </c>
      <c r="O217" s="8" t="s">
        <v>97</v>
      </c>
      <c r="P217" s="6" t="s">
        <v>305</v>
      </c>
      <c r="Q217" s="8" t="s">
        <v>86</v>
      </c>
      <c r="R217" s="10" t="s">
        <v>323</v>
      </c>
      <c r="S217" s="11"/>
      <c r="T217" s="6"/>
      <c r="U217" s="12"/>
      <c r="V217" s="28" t="str">
        <f>HYPERLINK("https://znanium.com/catalog/product/614828", "Ознакомиться")</f>
        <v>Ознакомиться</v>
      </c>
      <c r="W217" s="8"/>
      <c r="X217" s="6"/>
      <c r="Y217" s="6"/>
      <c r="Z217" s="6"/>
      <c r="AA217" s="6" t="s">
        <v>367</v>
      </c>
    </row>
    <row r="218" spans="1:27" s="4" customFormat="1" ht="51.95" customHeight="1">
      <c r="A218" s="5">
        <v>0</v>
      </c>
      <c r="B218" s="6" t="s">
        <v>1397</v>
      </c>
      <c r="C218" s="13">
        <v>1490</v>
      </c>
      <c r="D218" s="8" t="s">
        <v>1398</v>
      </c>
      <c r="E218" s="8" t="s">
        <v>1399</v>
      </c>
      <c r="F218" s="8" t="s">
        <v>1400</v>
      </c>
      <c r="G218" s="6" t="s">
        <v>95</v>
      </c>
      <c r="H218" s="6" t="s">
        <v>64</v>
      </c>
      <c r="I218" s="8" t="s">
        <v>185</v>
      </c>
      <c r="J218" s="9">
        <v>1</v>
      </c>
      <c r="K218" s="9">
        <v>323</v>
      </c>
      <c r="L218" s="9">
        <v>2023</v>
      </c>
      <c r="M218" s="8" t="s">
        <v>1401</v>
      </c>
      <c r="N218" s="8" t="s">
        <v>41</v>
      </c>
      <c r="O218" s="8" t="s">
        <v>97</v>
      </c>
      <c r="P218" s="6" t="s">
        <v>67</v>
      </c>
      <c r="Q218" s="8" t="s">
        <v>86</v>
      </c>
      <c r="R218" s="10" t="s">
        <v>1402</v>
      </c>
      <c r="S218" s="11"/>
      <c r="T218" s="6"/>
      <c r="U218" s="28" t="str">
        <f>HYPERLINK("https://media.infra-m.ru/1020/1020455/cover/1020455.jpg", "Обложка")</f>
        <v>Обложка</v>
      </c>
      <c r="V218" s="28" t="str">
        <f>HYPERLINK("https://znanium.com/catalog/product/1020455", "Ознакомиться")</f>
        <v>Ознакомиться</v>
      </c>
      <c r="W218" s="8" t="s">
        <v>1157</v>
      </c>
      <c r="X218" s="6" t="s">
        <v>375</v>
      </c>
      <c r="Y218" s="6"/>
      <c r="Z218" s="6"/>
      <c r="AA218" s="6" t="s">
        <v>112</v>
      </c>
    </row>
    <row r="219" spans="1:27" s="4" customFormat="1" ht="51.95" customHeight="1">
      <c r="A219" s="5">
        <v>0</v>
      </c>
      <c r="B219" s="6" t="s">
        <v>1403</v>
      </c>
      <c r="C219" s="13">
        <v>1154.9000000000001</v>
      </c>
      <c r="D219" s="8" t="s">
        <v>1404</v>
      </c>
      <c r="E219" s="8" t="s">
        <v>1405</v>
      </c>
      <c r="F219" s="8" t="s">
        <v>1406</v>
      </c>
      <c r="G219" s="6" t="s">
        <v>95</v>
      </c>
      <c r="H219" s="6" t="s">
        <v>64</v>
      </c>
      <c r="I219" s="8" t="s">
        <v>83</v>
      </c>
      <c r="J219" s="9">
        <v>1</v>
      </c>
      <c r="K219" s="9">
        <v>304</v>
      </c>
      <c r="L219" s="9">
        <v>2022</v>
      </c>
      <c r="M219" s="8" t="s">
        <v>1407</v>
      </c>
      <c r="N219" s="8" t="s">
        <v>41</v>
      </c>
      <c r="O219" s="8" t="s">
        <v>85</v>
      </c>
      <c r="P219" s="6" t="s">
        <v>54</v>
      </c>
      <c r="Q219" s="8" t="s">
        <v>86</v>
      </c>
      <c r="R219" s="10" t="s">
        <v>1408</v>
      </c>
      <c r="S219" s="11" t="s">
        <v>1409</v>
      </c>
      <c r="T219" s="6" t="s">
        <v>144</v>
      </c>
      <c r="U219" s="28" t="str">
        <f>HYPERLINK("https://media.infra-m.ru/1844/1844307/cover/1844307.jpg", "Обложка")</f>
        <v>Обложка</v>
      </c>
      <c r="V219" s="28" t="str">
        <f>HYPERLINK("https://znanium.com/catalog/product/1844307", "Ознакомиться")</f>
        <v>Ознакомиться</v>
      </c>
      <c r="W219" s="8" t="s">
        <v>1012</v>
      </c>
      <c r="X219" s="6"/>
      <c r="Y219" s="6"/>
      <c r="Z219" s="6"/>
      <c r="AA219" s="6" t="s">
        <v>90</v>
      </c>
    </row>
    <row r="220" spans="1:27" s="4" customFormat="1" ht="44.1" customHeight="1">
      <c r="A220" s="5">
        <v>0</v>
      </c>
      <c r="B220" s="6" t="s">
        <v>1410</v>
      </c>
      <c r="C220" s="7">
        <v>860</v>
      </c>
      <c r="D220" s="8" t="s">
        <v>1411</v>
      </c>
      <c r="E220" s="8" t="s">
        <v>1412</v>
      </c>
      <c r="F220" s="8" t="s">
        <v>1413</v>
      </c>
      <c r="G220" s="6" t="s">
        <v>37</v>
      </c>
      <c r="H220" s="6" t="s">
        <v>64</v>
      </c>
      <c r="I220" s="8" t="s">
        <v>39</v>
      </c>
      <c r="J220" s="9">
        <v>1</v>
      </c>
      <c r="K220" s="9">
        <v>181</v>
      </c>
      <c r="L220" s="9">
        <v>2023</v>
      </c>
      <c r="M220" s="8" t="s">
        <v>1414</v>
      </c>
      <c r="N220" s="8" t="s">
        <v>41</v>
      </c>
      <c r="O220" s="8" t="s">
        <v>97</v>
      </c>
      <c r="P220" s="6" t="s">
        <v>43</v>
      </c>
      <c r="Q220" s="8" t="s">
        <v>44</v>
      </c>
      <c r="R220" s="10" t="s">
        <v>1415</v>
      </c>
      <c r="S220" s="11"/>
      <c r="T220" s="6"/>
      <c r="U220" s="28" t="str">
        <f>HYPERLINK("https://media.infra-m.ru/1893/1893196/cover/1893196.jpg", "Обложка")</f>
        <v>Обложка</v>
      </c>
      <c r="V220" s="28" t="str">
        <f>HYPERLINK("https://znanium.com/catalog/product/1893196", "Ознакомиться")</f>
        <v>Ознакомиться</v>
      </c>
      <c r="W220" s="8" t="s">
        <v>1416</v>
      </c>
      <c r="X220" s="6"/>
      <c r="Y220" s="6"/>
      <c r="Z220" s="6"/>
      <c r="AA220" s="6" t="s">
        <v>112</v>
      </c>
    </row>
    <row r="221" spans="1:27" s="4" customFormat="1" ht="44.1" customHeight="1">
      <c r="A221" s="5">
        <v>0</v>
      </c>
      <c r="B221" s="6" t="s">
        <v>1417</v>
      </c>
      <c r="C221" s="7">
        <v>944.9</v>
      </c>
      <c r="D221" s="8" t="s">
        <v>1418</v>
      </c>
      <c r="E221" s="8" t="s">
        <v>1419</v>
      </c>
      <c r="F221" s="8" t="s">
        <v>1420</v>
      </c>
      <c r="G221" s="6" t="s">
        <v>95</v>
      </c>
      <c r="H221" s="6" t="s">
        <v>125</v>
      </c>
      <c r="I221" s="8"/>
      <c r="J221" s="9">
        <v>1</v>
      </c>
      <c r="K221" s="9">
        <v>224</v>
      </c>
      <c r="L221" s="9">
        <v>2022</v>
      </c>
      <c r="M221" s="8" t="s">
        <v>1421</v>
      </c>
      <c r="N221" s="8" t="s">
        <v>41</v>
      </c>
      <c r="O221" s="8" t="s">
        <v>85</v>
      </c>
      <c r="P221" s="6" t="s">
        <v>54</v>
      </c>
      <c r="Q221" s="8" t="s">
        <v>86</v>
      </c>
      <c r="R221" s="10" t="s">
        <v>1422</v>
      </c>
      <c r="S221" s="11"/>
      <c r="T221" s="6"/>
      <c r="U221" s="28" t="str">
        <f>HYPERLINK("https://media.infra-m.ru/1873/1873273/cover/1873273.jpg", "Обложка")</f>
        <v>Обложка</v>
      </c>
      <c r="V221" s="28" t="str">
        <f>HYPERLINK("https://znanium.com/catalog/product/1290479", "Ознакомиться")</f>
        <v>Ознакомиться</v>
      </c>
      <c r="W221" s="8" t="s">
        <v>110</v>
      </c>
      <c r="X221" s="6"/>
      <c r="Y221" s="6"/>
      <c r="Z221" s="6"/>
      <c r="AA221" s="6" t="s">
        <v>317</v>
      </c>
    </row>
    <row r="222" spans="1:27" s="4" customFormat="1" ht="42" customHeight="1">
      <c r="A222" s="5">
        <v>0</v>
      </c>
      <c r="B222" s="6" t="s">
        <v>1423</v>
      </c>
      <c r="C222" s="7">
        <v>370</v>
      </c>
      <c r="D222" s="8" t="s">
        <v>1424</v>
      </c>
      <c r="E222" s="8" t="s">
        <v>1425</v>
      </c>
      <c r="F222" s="8" t="s">
        <v>1426</v>
      </c>
      <c r="G222" s="6" t="s">
        <v>37</v>
      </c>
      <c r="H222" s="6" t="s">
        <v>64</v>
      </c>
      <c r="I222" s="8" t="s">
        <v>39</v>
      </c>
      <c r="J222" s="9">
        <v>1</v>
      </c>
      <c r="K222" s="9">
        <v>103</v>
      </c>
      <c r="L222" s="9">
        <v>2020</v>
      </c>
      <c r="M222" s="8" t="s">
        <v>1427</v>
      </c>
      <c r="N222" s="8" t="s">
        <v>41</v>
      </c>
      <c r="O222" s="8" t="s">
        <v>97</v>
      </c>
      <c r="P222" s="6" t="s">
        <v>43</v>
      </c>
      <c r="Q222" s="8" t="s">
        <v>44</v>
      </c>
      <c r="R222" s="10" t="s">
        <v>98</v>
      </c>
      <c r="S222" s="11"/>
      <c r="T222" s="6"/>
      <c r="U222" s="28" t="str">
        <f>HYPERLINK("https://media.infra-m.ru/1094/1094309/cover/1094309.jpg", "Обложка")</f>
        <v>Обложка</v>
      </c>
      <c r="V222" s="28" t="str">
        <f>HYPERLINK("https://znanium.com/catalog/product/1094309", "Ознакомиться")</f>
        <v>Ознакомиться</v>
      </c>
      <c r="W222" s="8" t="s">
        <v>647</v>
      </c>
      <c r="X222" s="6"/>
      <c r="Y222" s="6"/>
      <c r="Z222" s="6"/>
      <c r="AA222" s="6" t="s">
        <v>206</v>
      </c>
    </row>
    <row r="223" spans="1:27" s="4" customFormat="1" ht="51.95" customHeight="1">
      <c r="A223" s="5">
        <v>0</v>
      </c>
      <c r="B223" s="6" t="s">
        <v>1428</v>
      </c>
      <c r="C223" s="13">
        <v>1994.9</v>
      </c>
      <c r="D223" s="8" t="s">
        <v>1429</v>
      </c>
      <c r="E223" s="8" t="s">
        <v>1430</v>
      </c>
      <c r="F223" s="8" t="s">
        <v>1431</v>
      </c>
      <c r="G223" s="6" t="s">
        <v>37</v>
      </c>
      <c r="H223" s="6" t="s">
        <v>1432</v>
      </c>
      <c r="I223" s="8" t="s">
        <v>1433</v>
      </c>
      <c r="J223" s="9">
        <v>1</v>
      </c>
      <c r="K223" s="9">
        <v>396</v>
      </c>
      <c r="L223" s="9">
        <v>2023</v>
      </c>
      <c r="M223" s="8" t="s">
        <v>1434</v>
      </c>
      <c r="N223" s="8" t="s">
        <v>41</v>
      </c>
      <c r="O223" s="8" t="s">
        <v>85</v>
      </c>
      <c r="P223" s="6" t="s">
        <v>54</v>
      </c>
      <c r="Q223" s="8" t="s">
        <v>467</v>
      </c>
      <c r="R223" s="10" t="s">
        <v>1435</v>
      </c>
      <c r="S223" s="11"/>
      <c r="T223" s="6" t="s">
        <v>144</v>
      </c>
      <c r="U223" s="28" t="str">
        <f>HYPERLINK("https://media.infra-m.ru/1913/1913007/cover/1913007.jpg", "Обложка")</f>
        <v>Обложка</v>
      </c>
      <c r="V223" s="28" t="str">
        <f>HYPERLINK("https://znanium.com/catalog/product/1015052", "Ознакомиться")</f>
        <v>Ознакомиться</v>
      </c>
      <c r="W223" s="8" t="s">
        <v>110</v>
      </c>
      <c r="X223" s="6"/>
      <c r="Y223" s="6"/>
      <c r="Z223" s="6"/>
      <c r="AA223" s="6" t="s">
        <v>317</v>
      </c>
    </row>
    <row r="224" spans="1:27" s="4" customFormat="1" ht="44.1" customHeight="1">
      <c r="A224" s="5">
        <v>0</v>
      </c>
      <c r="B224" s="6" t="s">
        <v>1436</v>
      </c>
      <c r="C224" s="13">
        <v>1890</v>
      </c>
      <c r="D224" s="8" t="s">
        <v>1437</v>
      </c>
      <c r="E224" s="8" t="s">
        <v>1438</v>
      </c>
      <c r="F224" s="8" t="s">
        <v>1439</v>
      </c>
      <c r="G224" s="6" t="s">
        <v>95</v>
      </c>
      <c r="H224" s="6" t="s">
        <v>64</v>
      </c>
      <c r="I224" s="8" t="s">
        <v>39</v>
      </c>
      <c r="J224" s="9">
        <v>1</v>
      </c>
      <c r="K224" s="9">
        <v>480</v>
      </c>
      <c r="L224" s="9">
        <v>2022</v>
      </c>
      <c r="M224" s="8" t="s">
        <v>1440</v>
      </c>
      <c r="N224" s="8" t="s">
        <v>41</v>
      </c>
      <c r="O224" s="8" t="s">
        <v>42</v>
      </c>
      <c r="P224" s="6" t="s">
        <v>43</v>
      </c>
      <c r="Q224" s="8" t="s">
        <v>44</v>
      </c>
      <c r="R224" s="10" t="s">
        <v>1441</v>
      </c>
      <c r="S224" s="11"/>
      <c r="T224" s="6"/>
      <c r="U224" s="28" t="str">
        <f>HYPERLINK("https://media.infra-m.ru/1819/1819040/cover/1819040.jpg", "Обложка")</f>
        <v>Обложка</v>
      </c>
      <c r="V224" s="28" t="str">
        <f>HYPERLINK("https://znanium.com/catalog/product/1819040", "Ознакомиться")</f>
        <v>Ознакомиться</v>
      </c>
      <c r="W224" s="8" t="s">
        <v>1442</v>
      </c>
      <c r="X224" s="6"/>
      <c r="Y224" s="6"/>
      <c r="Z224" s="6"/>
      <c r="AA224" s="6" t="s">
        <v>687</v>
      </c>
    </row>
    <row r="225" spans="1:27" s="4" customFormat="1" ht="51.95" customHeight="1">
      <c r="A225" s="5">
        <v>0</v>
      </c>
      <c r="B225" s="6" t="s">
        <v>1443</v>
      </c>
      <c r="C225" s="7">
        <v>930</v>
      </c>
      <c r="D225" s="8" t="s">
        <v>1444</v>
      </c>
      <c r="E225" s="8" t="s">
        <v>1445</v>
      </c>
      <c r="F225" s="8" t="s">
        <v>568</v>
      </c>
      <c r="G225" s="6" t="s">
        <v>63</v>
      </c>
      <c r="H225" s="6" t="s">
        <v>64</v>
      </c>
      <c r="I225" s="8" t="s">
        <v>192</v>
      </c>
      <c r="J225" s="9">
        <v>1</v>
      </c>
      <c r="K225" s="9">
        <v>242</v>
      </c>
      <c r="L225" s="9">
        <v>2022</v>
      </c>
      <c r="M225" s="8" t="s">
        <v>1446</v>
      </c>
      <c r="N225" s="8" t="s">
        <v>41</v>
      </c>
      <c r="O225" s="8" t="s">
        <v>97</v>
      </c>
      <c r="P225" s="6" t="s">
        <v>67</v>
      </c>
      <c r="Q225" s="8" t="s">
        <v>194</v>
      </c>
      <c r="R225" s="10" t="s">
        <v>195</v>
      </c>
      <c r="S225" s="11" t="s">
        <v>1447</v>
      </c>
      <c r="T225" s="6"/>
      <c r="U225" s="28" t="str">
        <f>HYPERLINK("https://media.infra-m.ru/1855/1855470/cover/1855470.jpg", "Обложка")</f>
        <v>Обложка</v>
      </c>
      <c r="V225" s="28" t="str">
        <f>HYPERLINK("https://znanium.com/catalog/product/1855470", "Ознакомиться")</f>
        <v>Ознакомиться</v>
      </c>
      <c r="W225" s="8" t="s">
        <v>571</v>
      </c>
      <c r="X225" s="6"/>
      <c r="Y225" s="6"/>
      <c r="Z225" s="6"/>
      <c r="AA225" s="6" t="s">
        <v>401</v>
      </c>
    </row>
    <row r="226" spans="1:27" s="4" customFormat="1" ht="51.95" customHeight="1">
      <c r="A226" s="5">
        <v>0</v>
      </c>
      <c r="B226" s="6" t="s">
        <v>1448</v>
      </c>
      <c r="C226" s="7">
        <v>870</v>
      </c>
      <c r="D226" s="8" t="s">
        <v>1449</v>
      </c>
      <c r="E226" s="8" t="s">
        <v>1450</v>
      </c>
      <c r="F226" s="8" t="s">
        <v>1451</v>
      </c>
      <c r="G226" s="6" t="s">
        <v>63</v>
      </c>
      <c r="H226" s="6" t="s">
        <v>64</v>
      </c>
      <c r="I226" s="8" t="s">
        <v>83</v>
      </c>
      <c r="J226" s="9">
        <v>1</v>
      </c>
      <c r="K226" s="9">
        <v>193</v>
      </c>
      <c r="L226" s="9">
        <v>2022</v>
      </c>
      <c r="M226" s="8" t="s">
        <v>1452</v>
      </c>
      <c r="N226" s="8" t="s">
        <v>41</v>
      </c>
      <c r="O226" s="8" t="s">
        <v>85</v>
      </c>
      <c r="P226" s="6" t="s">
        <v>54</v>
      </c>
      <c r="Q226" s="8" t="s">
        <v>86</v>
      </c>
      <c r="R226" s="10" t="s">
        <v>172</v>
      </c>
      <c r="S226" s="11" t="s">
        <v>1453</v>
      </c>
      <c r="T226" s="6"/>
      <c r="U226" s="28" t="str">
        <f>HYPERLINK("https://media.infra-m.ru/1869/1869370/cover/1869370.jpg", "Обложка")</f>
        <v>Обложка</v>
      </c>
      <c r="V226" s="28" t="str">
        <f>HYPERLINK("https://znanium.com/catalog/product/1869370", "Ознакомиться")</f>
        <v>Ознакомиться</v>
      </c>
      <c r="W226" s="8" t="s">
        <v>1454</v>
      </c>
      <c r="X226" s="6"/>
      <c r="Y226" s="6"/>
      <c r="Z226" s="6"/>
      <c r="AA226" s="6" t="s">
        <v>244</v>
      </c>
    </row>
    <row r="227" spans="1:27" s="4" customFormat="1" ht="51.95" customHeight="1">
      <c r="A227" s="5">
        <v>0</v>
      </c>
      <c r="B227" s="6" t="s">
        <v>1455</v>
      </c>
      <c r="C227" s="7">
        <v>674.9</v>
      </c>
      <c r="D227" s="8" t="s">
        <v>1456</v>
      </c>
      <c r="E227" s="8" t="s">
        <v>1457</v>
      </c>
      <c r="F227" s="8" t="s">
        <v>1458</v>
      </c>
      <c r="G227" s="6" t="s">
        <v>95</v>
      </c>
      <c r="H227" s="6" t="s">
        <v>1459</v>
      </c>
      <c r="I227" s="8"/>
      <c r="J227" s="9">
        <v>1</v>
      </c>
      <c r="K227" s="9">
        <v>208</v>
      </c>
      <c r="L227" s="9">
        <v>2019</v>
      </c>
      <c r="M227" s="8" t="s">
        <v>1460</v>
      </c>
      <c r="N227" s="8" t="s">
        <v>41</v>
      </c>
      <c r="O227" s="8" t="s">
        <v>85</v>
      </c>
      <c r="P227" s="6" t="s">
        <v>54</v>
      </c>
      <c r="Q227" s="8" t="s">
        <v>86</v>
      </c>
      <c r="R227" s="10" t="s">
        <v>172</v>
      </c>
      <c r="S227" s="11"/>
      <c r="T227" s="6"/>
      <c r="U227" s="28" t="str">
        <f>HYPERLINK("https://media.infra-m.ru/1009/1009286/cover/1009286.jpg", "Обложка")</f>
        <v>Обложка</v>
      </c>
      <c r="V227" s="28" t="str">
        <f>HYPERLINK("https://znanium.com/catalog/product/1869370", "Ознакомиться")</f>
        <v>Ознакомиться</v>
      </c>
      <c r="W227" s="8" t="s">
        <v>1454</v>
      </c>
      <c r="X227" s="6"/>
      <c r="Y227" s="6"/>
      <c r="Z227" s="6"/>
      <c r="AA227" s="6" t="s">
        <v>90</v>
      </c>
    </row>
    <row r="228" spans="1:27" s="4" customFormat="1" ht="42" customHeight="1">
      <c r="A228" s="5">
        <v>0</v>
      </c>
      <c r="B228" s="6" t="s">
        <v>1461</v>
      </c>
      <c r="C228" s="13">
        <v>2190</v>
      </c>
      <c r="D228" s="8" t="s">
        <v>1462</v>
      </c>
      <c r="E228" s="8" t="s">
        <v>1463</v>
      </c>
      <c r="F228" s="8" t="s">
        <v>1464</v>
      </c>
      <c r="G228" s="6" t="s">
        <v>63</v>
      </c>
      <c r="H228" s="6" t="s">
        <v>64</v>
      </c>
      <c r="I228" s="8" t="s">
        <v>1465</v>
      </c>
      <c r="J228" s="9">
        <v>1</v>
      </c>
      <c r="K228" s="9">
        <v>491</v>
      </c>
      <c r="L228" s="9">
        <v>2023</v>
      </c>
      <c r="M228" s="8" t="s">
        <v>1466</v>
      </c>
      <c r="N228" s="8" t="s">
        <v>41</v>
      </c>
      <c r="O228" s="8" t="s">
        <v>42</v>
      </c>
      <c r="P228" s="6" t="s">
        <v>1467</v>
      </c>
      <c r="Q228" s="8" t="s">
        <v>44</v>
      </c>
      <c r="R228" s="10" t="s">
        <v>1468</v>
      </c>
      <c r="S228" s="11"/>
      <c r="T228" s="6"/>
      <c r="U228" s="28" t="str">
        <f>HYPERLINK("https://media.infra-m.ru/1896/1896462/cover/1896462.jpg", "Обложка")</f>
        <v>Обложка</v>
      </c>
      <c r="V228" s="28" t="str">
        <f>HYPERLINK("https://znanium.com/catalog/product/1896462", "Ознакомиться")</f>
        <v>Ознакомиться</v>
      </c>
      <c r="W228" s="8" t="s">
        <v>110</v>
      </c>
      <c r="X228" s="6"/>
      <c r="Y228" s="6"/>
      <c r="Z228" s="6"/>
      <c r="AA228" s="6" t="s">
        <v>687</v>
      </c>
    </row>
    <row r="229" spans="1:27" s="4" customFormat="1" ht="51.95" customHeight="1">
      <c r="A229" s="5">
        <v>0</v>
      </c>
      <c r="B229" s="6" t="s">
        <v>1469</v>
      </c>
      <c r="C229" s="13">
        <v>1304.9000000000001</v>
      </c>
      <c r="D229" s="8" t="s">
        <v>1470</v>
      </c>
      <c r="E229" s="8" t="s">
        <v>1471</v>
      </c>
      <c r="F229" s="8" t="s">
        <v>1472</v>
      </c>
      <c r="G229" s="6" t="s">
        <v>95</v>
      </c>
      <c r="H229" s="6" t="s">
        <v>64</v>
      </c>
      <c r="I229" s="8" t="s">
        <v>39</v>
      </c>
      <c r="J229" s="9">
        <v>1</v>
      </c>
      <c r="K229" s="9">
        <v>289</v>
      </c>
      <c r="L229" s="9">
        <v>2023</v>
      </c>
      <c r="M229" s="8" t="s">
        <v>1473</v>
      </c>
      <c r="N229" s="8" t="s">
        <v>41</v>
      </c>
      <c r="O229" s="8" t="s">
        <v>97</v>
      </c>
      <c r="P229" s="6" t="s">
        <v>43</v>
      </c>
      <c r="Q229" s="8" t="s">
        <v>44</v>
      </c>
      <c r="R229" s="10" t="s">
        <v>1474</v>
      </c>
      <c r="S229" s="11"/>
      <c r="T229" s="6"/>
      <c r="U229" s="28" t="str">
        <f>HYPERLINK("https://media.infra-m.ru/2002/2002622/cover/2002622.jpg", "Обложка")</f>
        <v>Обложка</v>
      </c>
      <c r="V229" s="28" t="str">
        <f>HYPERLINK("https://znanium.com/catalog/product/968751", "Ознакомиться")</f>
        <v>Ознакомиться</v>
      </c>
      <c r="W229" s="8" t="s">
        <v>1475</v>
      </c>
      <c r="X229" s="6"/>
      <c r="Y229" s="6"/>
      <c r="Z229" s="6"/>
      <c r="AA229" s="6" t="s">
        <v>206</v>
      </c>
    </row>
    <row r="230" spans="1:27" s="4" customFormat="1" ht="51.95" customHeight="1">
      <c r="A230" s="5">
        <v>0</v>
      </c>
      <c r="B230" s="6" t="s">
        <v>1476</v>
      </c>
      <c r="C230" s="7">
        <v>684</v>
      </c>
      <c r="D230" s="8" t="s">
        <v>1477</v>
      </c>
      <c r="E230" s="8" t="s">
        <v>1478</v>
      </c>
      <c r="F230" s="8" t="s">
        <v>1479</v>
      </c>
      <c r="G230" s="6" t="s">
        <v>37</v>
      </c>
      <c r="H230" s="6" t="s">
        <v>357</v>
      </c>
      <c r="I230" s="8" t="s">
        <v>185</v>
      </c>
      <c r="J230" s="9">
        <v>1</v>
      </c>
      <c r="K230" s="9">
        <v>144</v>
      </c>
      <c r="L230" s="9">
        <v>2024</v>
      </c>
      <c r="M230" s="8" t="s">
        <v>1480</v>
      </c>
      <c r="N230" s="8" t="s">
        <v>41</v>
      </c>
      <c r="O230" s="8" t="s">
        <v>97</v>
      </c>
      <c r="P230" s="6" t="s">
        <v>54</v>
      </c>
      <c r="Q230" s="8" t="s">
        <v>86</v>
      </c>
      <c r="R230" s="10" t="s">
        <v>555</v>
      </c>
      <c r="S230" s="11" t="s">
        <v>1481</v>
      </c>
      <c r="T230" s="6"/>
      <c r="U230" s="28" t="str">
        <f>HYPERLINK("https://media.infra-m.ru/2056/2056620/cover/2056620.jpg", "Обложка")</f>
        <v>Обложка</v>
      </c>
      <c r="V230" s="12"/>
      <c r="W230" s="8" t="s">
        <v>110</v>
      </c>
      <c r="X230" s="6"/>
      <c r="Y230" s="6"/>
      <c r="Z230" s="6"/>
      <c r="AA230" s="6" t="s">
        <v>1482</v>
      </c>
    </row>
    <row r="231" spans="1:27" s="4" customFormat="1" ht="51.95" customHeight="1">
      <c r="A231" s="5">
        <v>0</v>
      </c>
      <c r="B231" s="6" t="s">
        <v>1483</v>
      </c>
      <c r="C231" s="13">
        <v>2484</v>
      </c>
      <c r="D231" s="8" t="s">
        <v>1484</v>
      </c>
      <c r="E231" s="8" t="s">
        <v>1485</v>
      </c>
      <c r="F231" s="8" t="s">
        <v>1486</v>
      </c>
      <c r="G231" s="6" t="s">
        <v>95</v>
      </c>
      <c r="H231" s="6" t="s">
        <v>125</v>
      </c>
      <c r="I231" s="8"/>
      <c r="J231" s="9">
        <v>1</v>
      </c>
      <c r="K231" s="9">
        <v>413</v>
      </c>
      <c r="L231" s="9">
        <v>2024</v>
      </c>
      <c r="M231" s="8" t="s">
        <v>1487</v>
      </c>
      <c r="N231" s="8" t="s">
        <v>41</v>
      </c>
      <c r="O231" s="8" t="s">
        <v>97</v>
      </c>
      <c r="P231" s="6" t="s">
        <v>67</v>
      </c>
      <c r="Q231" s="8" t="s">
        <v>86</v>
      </c>
      <c r="R231" s="10" t="s">
        <v>1408</v>
      </c>
      <c r="S231" s="11" t="s">
        <v>1488</v>
      </c>
      <c r="T231" s="6"/>
      <c r="U231" s="28" t="str">
        <f>HYPERLINK("https://media.infra-m.ru/2096/2096325/cover/2096325.jpg", "Обложка")</f>
        <v>Обложка</v>
      </c>
      <c r="V231" s="28" t="str">
        <f>HYPERLINK("https://znanium.com/catalog/product/2057642", "Ознакомиться")</f>
        <v>Ознакомиться</v>
      </c>
      <c r="W231" s="8" t="s">
        <v>110</v>
      </c>
      <c r="X231" s="6"/>
      <c r="Y231" s="6"/>
      <c r="Z231" s="6"/>
      <c r="AA231" s="6" t="s">
        <v>610</v>
      </c>
    </row>
    <row r="232" spans="1:27" s="4" customFormat="1" ht="51.95" customHeight="1">
      <c r="A232" s="5">
        <v>0</v>
      </c>
      <c r="B232" s="6" t="s">
        <v>1489</v>
      </c>
      <c r="C232" s="13">
        <v>1794.9</v>
      </c>
      <c r="D232" s="8" t="s">
        <v>1490</v>
      </c>
      <c r="E232" s="8" t="s">
        <v>1491</v>
      </c>
      <c r="F232" s="8" t="s">
        <v>1492</v>
      </c>
      <c r="G232" s="6" t="s">
        <v>95</v>
      </c>
      <c r="H232" s="6" t="s">
        <v>347</v>
      </c>
      <c r="I232" s="8"/>
      <c r="J232" s="9">
        <v>1</v>
      </c>
      <c r="K232" s="9">
        <v>752</v>
      </c>
      <c r="L232" s="9">
        <v>2021</v>
      </c>
      <c r="M232" s="8" t="s">
        <v>1493</v>
      </c>
      <c r="N232" s="8" t="s">
        <v>41</v>
      </c>
      <c r="O232" s="8" t="s">
        <v>97</v>
      </c>
      <c r="P232" s="6" t="s">
        <v>67</v>
      </c>
      <c r="Q232" s="8" t="s">
        <v>86</v>
      </c>
      <c r="R232" s="10" t="s">
        <v>1494</v>
      </c>
      <c r="S232" s="11" t="s">
        <v>666</v>
      </c>
      <c r="T232" s="6"/>
      <c r="U232" s="28" t="str">
        <f>HYPERLINK("https://media.infra-m.ru/1489/1489211/cover/1489211.jpg", "Обложка")</f>
        <v>Обложка</v>
      </c>
      <c r="V232" s="28" t="str">
        <f>HYPERLINK("https://znanium.com/catalog/product/1489211", "Ознакомиться")</f>
        <v>Ознакомиться</v>
      </c>
      <c r="W232" s="8" t="s">
        <v>1495</v>
      </c>
      <c r="X232" s="6"/>
      <c r="Y232" s="6"/>
      <c r="Z232" s="6"/>
      <c r="AA232" s="6" t="s">
        <v>1482</v>
      </c>
    </row>
    <row r="233" spans="1:27" s="4" customFormat="1" ht="51.95" customHeight="1">
      <c r="A233" s="5">
        <v>0</v>
      </c>
      <c r="B233" s="6" t="s">
        <v>1496</v>
      </c>
      <c r="C233" s="13">
        <v>1290</v>
      </c>
      <c r="D233" s="8" t="s">
        <v>1497</v>
      </c>
      <c r="E233" s="8" t="s">
        <v>1485</v>
      </c>
      <c r="F233" s="8" t="s">
        <v>1498</v>
      </c>
      <c r="G233" s="6" t="s">
        <v>63</v>
      </c>
      <c r="H233" s="6" t="s">
        <v>64</v>
      </c>
      <c r="I233" s="8" t="s">
        <v>83</v>
      </c>
      <c r="J233" s="9">
        <v>1</v>
      </c>
      <c r="K233" s="9">
        <v>287</v>
      </c>
      <c r="L233" s="9">
        <v>2021</v>
      </c>
      <c r="M233" s="8" t="s">
        <v>1499</v>
      </c>
      <c r="N233" s="8" t="s">
        <v>41</v>
      </c>
      <c r="O233" s="8" t="s">
        <v>97</v>
      </c>
      <c r="P233" s="6" t="s">
        <v>67</v>
      </c>
      <c r="Q233" s="8" t="s">
        <v>86</v>
      </c>
      <c r="R233" s="10" t="s">
        <v>772</v>
      </c>
      <c r="S233" s="11" t="s">
        <v>1500</v>
      </c>
      <c r="T233" s="6"/>
      <c r="U233" s="28" t="str">
        <f>HYPERLINK("https://media.infra-m.ru/1870/1870654/cover/1870654.jpg", "Обложка")</f>
        <v>Обложка</v>
      </c>
      <c r="V233" s="28" t="str">
        <f>HYPERLINK("https://znanium.com/catalog/product/1855794", "Ознакомиться")</f>
        <v>Ознакомиться</v>
      </c>
      <c r="W233" s="8" t="s">
        <v>120</v>
      </c>
      <c r="X233" s="6"/>
      <c r="Y233" s="6"/>
      <c r="Z233" s="6"/>
      <c r="AA233" s="6" t="s">
        <v>58</v>
      </c>
    </row>
    <row r="234" spans="1:27" s="4" customFormat="1" ht="51.95" customHeight="1">
      <c r="A234" s="5">
        <v>0</v>
      </c>
      <c r="B234" s="6" t="s">
        <v>1501</v>
      </c>
      <c r="C234" s="13">
        <v>3099.9</v>
      </c>
      <c r="D234" s="8" t="s">
        <v>1502</v>
      </c>
      <c r="E234" s="8" t="s">
        <v>1485</v>
      </c>
      <c r="F234" s="8" t="s">
        <v>1503</v>
      </c>
      <c r="G234" s="6" t="s">
        <v>95</v>
      </c>
      <c r="H234" s="6" t="s">
        <v>64</v>
      </c>
      <c r="I234" s="8" t="s">
        <v>1504</v>
      </c>
      <c r="J234" s="9">
        <v>1</v>
      </c>
      <c r="K234" s="9">
        <v>1040</v>
      </c>
      <c r="L234" s="9">
        <v>2022</v>
      </c>
      <c r="M234" s="8" t="s">
        <v>1505</v>
      </c>
      <c r="N234" s="8" t="s">
        <v>41</v>
      </c>
      <c r="O234" s="8" t="s">
        <v>97</v>
      </c>
      <c r="P234" s="6" t="s">
        <v>67</v>
      </c>
      <c r="Q234" s="8" t="s">
        <v>86</v>
      </c>
      <c r="R234" s="10" t="s">
        <v>98</v>
      </c>
      <c r="S234" s="11" t="s">
        <v>1506</v>
      </c>
      <c r="T234" s="6"/>
      <c r="U234" s="28" t="str">
        <f>HYPERLINK("https://media.infra-m.ru/1817/1817592/cover/1817592.jpg", "Обложка")</f>
        <v>Обложка</v>
      </c>
      <c r="V234" s="12"/>
      <c r="W234" s="8" t="s">
        <v>324</v>
      </c>
      <c r="X234" s="6"/>
      <c r="Y234" s="6"/>
      <c r="Z234" s="6"/>
      <c r="AA234" s="6" t="s">
        <v>1507</v>
      </c>
    </row>
    <row r="235" spans="1:27" s="4" customFormat="1" ht="42" customHeight="1">
      <c r="A235" s="5">
        <v>0</v>
      </c>
      <c r="B235" s="6" t="s">
        <v>1508</v>
      </c>
      <c r="C235" s="7">
        <v>850</v>
      </c>
      <c r="D235" s="8" t="s">
        <v>1509</v>
      </c>
      <c r="E235" s="8" t="s">
        <v>1485</v>
      </c>
      <c r="F235" s="8" t="s">
        <v>1510</v>
      </c>
      <c r="G235" s="6" t="s">
        <v>95</v>
      </c>
      <c r="H235" s="6" t="s">
        <v>64</v>
      </c>
      <c r="I235" s="8" t="s">
        <v>1234</v>
      </c>
      <c r="J235" s="9">
        <v>1</v>
      </c>
      <c r="K235" s="9">
        <v>157</v>
      </c>
      <c r="L235" s="9">
        <v>2024</v>
      </c>
      <c r="M235" s="8" t="s">
        <v>1511</v>
      </c>
      <c r="N235" s="8" t="s">
        <v>41</v>
      </c>
      <c r="O235" s="8" t="s">
        <v>97</v>
      </c>
      <c r="P235" s="6" t="s">
        <v>54</v>
      </c>
      <c r="Q235" s="8" t="s">
        <v>86</v>
      </c>
      <c r="R235" s="10" t="s">
        <v>1512</v>
      </c>
      <c r="S235" s="11"/>
      <c r="T235" s="6" t="s">
        <v>144</v>
      </c>
      <c r="U235" s="28" t="str">
        <f>HYPERLINK("https://media.infra-m.ru/1852/1852466/cover/1852466.jpg", "Обложка")</f>
        <v>Обложка</v>
      </c>
      <c r="V235" s="28" t="str">
        <f>HYPERLINK("https://znanium.com/catalog/product/1852466", "Ознакомиться")</f>
        <v>Ознакомиться</v>
      </c>
      <c r="W235" s="8" t="s">
        <v>120</v>
      </c>
      <c r="X235" s="6" t="s">
        <v>1513</v>
      </c>
      <c r="Y235" s="6"/>
      <c r="Z235" s="6"/>
      <c r="AA235" s="6" t="s">
        <v>618</v>
      </c>
    </row>
    <row r="236" spans="1:27" s="4" customFormat="1" ht="21.95" customHeight="1">
      <c r="A236" s="5">
        <v>0</v>
      </c>
      <c r="B236" s="6" t="s">
        <v>1514</v>
      </c>
      <c r="C236" s="7">
        <v>18.899999999999999</v>
      </c>
      <c r="D236" s="8" t="s">
        <v>1515</v>
      </c>
      <c r="E236" s="8" t="s">
        <v>1485</v>
      </c>
      <c r="F236" s="8"/>
      <c r="G236" s="6"/>
      <c r="H236" s="6" t="s">
        <v>38</v>
      </c>
      <c r="I236" s="8" t="s">
        <v>1516</v>
      </c>
      <c r="J236" s="9">
        <v>100</v>
      </c>
      <c r="K236" s="9">
        <v>34</v>
      </c>
      <c r="L236" s="9">
        <v>2017</v>
      </c>
      <c r="M236" s="8" t="s">
        <v>1517</v>
      </c>
      <c r="N236" s="8" t="s">
        <v>41</v>
      </c>
      <c r="O236" s="8" t="s">
        <v>97</v>
      </c>
      <c r="P236" s="6" t="s">
        <v>305</v>
      </c>
      <c r="Q236" s="8" t="s">
        <v>86</v>
      </c>
      <c r="R236" s="10"/>
      <c r="S236" s="11"/>
      <c r="T236" s="6"/>
      <c r="U236" s="12"/>
      <c r="V236" s="12"/>
      <c r="W236" s="8"/>
      <c r="X236" s="6"/>
      <c r="Y236" s="6"/>
      <c r="Z236" s="6"/>
      <c r="AA236" s="6" t="s">
        <v>353</v>
      </c>
    </row>
    <row r="237" spans="1:27" s="4" customFormat="1" ht="51.95" customHeight="1">
      <c r="A237" s="5">
        <v>0</v>
      </c>
      <c r="B237" s="6" t="s">
        <v>1518</v>
      </c>
      <c r="C237" s="7">
        <v>730</v>
      </c>
      <c r="D237" s="8" t="s">
        <v>1519</v>
      </c>
      <c r="E237" s="8" t="s">
        <v>1520</v>
      </c>
      <c r="F237" s="8" t="s">
        <v>1521</v>
      </c>
      <c r="G237" s="6" t="s">
        <v>37</v>
      </c>
      <c r="H237" s="6" t="s">
        <v>64</v>
      </c>
      <c r="I237" s="8" t="s">
        <v>65</v>
      </c>
      <c r="J237" s="9">
        <v>1</v>
      </c>
      <c r="K237" s="9">
        <v>162</v>
      </c>
      <c r="L237" s="9">
        <v>2023</v>
      </c>
      <c r="M237" s="8" t="s">
        <v>1522</v>
      </c>
      <c r="N237" s="8" t="s">
        <v>41</v>
      </c>
      <c r="O237" s="8" t="s">
        <v>97</v>
      </c>
      <c r="P237" s="6" t="s">
        <v>54</v>
      </c>
      <c r="Q237" s="8" t="s">
        <v>55</v>
      </c>
      <c r="R237" s="10" t="s">
        <v>653</v>
      </c>
      <c r="S237" s="11" t="s">
        <v>1523</v>
      </c>
      <c r="T237" s="6"/>
      <c r="U237" s="28" t="str">
        <f>HYPERLINK("https://media.infra-m.ru/1903/1903414/cover/1903414.jpg", "Обложка")</f>
        <v>Обложка</v>
      </c>
      <c r="V237" s="28" t="str">
        <f>HYPERLINK("https://znanium.com/catalog/product/1903414", "Ознакомиться")</f>
        <v>Ознакомиться</v>
      </c>
      <c r="W237" s="8" t="s">
        <v>1524</v>
      </c>
      <c r="X237" s="6"/>
      <c r="Y237" s="6"/>
      <c r="Z237" s="6"/>
      <c r="AA237" s="6" t="s">
        <v>71</v>
      </c>
    </row>
    <row r="238" spans="1:27" s="4" customFormat="1" ht="51.95" customHeight="1">
      <c r="A238" s="5">
        <v>0</v>
      </c>
      <c r="B238" s="6" t="s">
        <v>1525</v>
      </c>
      <c r="C238" s="13">
        <v>1170</v>
      </c>
      <c r="D238" s="8" t="s">
        <v>1526</v>
      </c>
      <c r="E238" s="8" t="s">
        <v>1527</v>
      </c>
      <c r="F238" s="8" t="s">
        <v>1528</v>
      </c>
      <c r="G238" s="6" t="s">
        <v>63</v>
      </c>
      <c r="H238" s="6" t="s">
        <v>64</v>
      </c>
      <c r="I238" s="8" t="s">
        <v>1234</v>
      </c>
      <c r="J238" s="9">
        <v>1</v>
      </c>
      <c r="K238" s="9">
        <v>254</v>
      </c>
      <c r="L238" s="9">
        <v>2024</v>
      </c>
      <c r="M238" s="8" t="s">
        <v>1529</v>
      </c>
      <c r="N238" s="8" t="s">
        <v>41</v>
      </c>
      <c r="O238" s="8" t="s">
        <v>97</v>
      </c>
      <c r="P238" s="6" t="s">
        <v>54</v>
      </c>
      <c r="Q238" s="8" t="s">
        <v>86</v>
      </c>
      <c r="R238" s="10" t="s">
        <v>172</v>
      </c>
      <c r="S238" s="11" t="s">
        <v>1530</v>
      </c>
      <c r="T238" s="6" t="s">
        <v>144</v>
      </c>
      <c r="U238" s="28" t="str">
        <f>HYPERLINK("https://media.infra-m.ru/2105/2105254/cover/2105254.jpg", "Обложка")</f>
        <v>Обложка</v>
      </c>
      <c r="V238" s="28" t="str">
        <f>HYPERLINK("https://znanium.com/catalog/product/2105254", "Ознакомиться")</f>
        <v>Ознакомиться</v>
      </c>
      <c r="W238" s="8" t="s">
        <v>120</v>
      </c>
      <c r="X238" s="6"/>
      <c r="Y238" s="6"/>
      <c r="Z238" s="6"/>
      <c r="AA238" s="6" t="s">
        <v>47</v>
      </c>
    </row>
    <row r="239" spans="1:27" s="4" customFormat="1" ht="51.95" customHeight="1">
      <c r="A239" s="5">
        <v>0</v>
      </c>
      <c r="B239" s="6" t="s">
        <v>1531</v>
      </c>
      <c r="C239" s="13">
        <v>1480</v>
      </c>
      <c r="D239" s="8" t="s">
        <v>1532</v>
      </c>
      <c r="E239" s="8" t="s">
        <v>1533</v>
      </c>
      <c r="F239" s="8" t="s">
        <v>1534</v>
      </c>
      <c r="G239" s="6" t="s">
        <v>63</v>
      </c>
      <c r="H239" s="6" t="s">
        <v>64</v>
      </c>
      <c r="I239" s="8" t="s">
        <v>185</v>
      </c>
      <c r="J239" s="9">
        <v>1</v>
      </c>
      <c r="K239" s="9">
        <v>320</v>
      </c>
      <c r="L239" s="9">
        <v>2024</v>
      </c>
      <c r="M239" s="8" t="s">
        <v>1535</v>
      </c>
      <c r="N239" s="8" t="s">
        <v>41</v>
      </c>
      <c r="O239" s="8" t="s">
        <v>97</v>
      </c>
      <c r="P239" s="6" t="s">
        <v>67</v>
      </c>
      <c r="Q239" s="8" t="s">
        <v>86</v>
      </c>
      <c r="R239" s="10" t="s">
        <v>1408</v>
      </c>
      <c r="S239" s="11" t="s">
        <v>1536</v>
      </c>
      <c r="T239" s="6"/>
      <c r="U239" s="28" t="str">
        <f>HYPERLINK("https://media.infra-m.ru/2079/2079629/cover/2079629.jpg", "Обложка")</f>
        <v>Обложка</v>
      </c>
      <c r="V239" s="28" t="str">
        <f>HYPERLINK("https://znanium.com/catalog/product/2079629", "Ознакомиться")</f>
        <v>Ознакомиться</v>
      </c>
      <c r="W239" s="8" t="s">
        <v>1537</v>
      </c>
      <c r="X239" s="6"/>
      <c r="Y239" s="6"/>
      <c r="Z239" s="6"/>
      <c r="AA239" s="6" t="s">
        <v>610</v>
      </c>
    </row>
    <row r="240" spans="1:27" s="4" customFormat="1" ht="51.95" customHeight="1">
      <c r="A240" s="5">
        <v>0</v>
      </c>
      <c r="B240" s="6" t="s">
        <v>1538</v>
      </c>
      <c r="C240" s="13">
        <v>1124</v>
      </c>
      <c r="D240" s="8" t="s">
        <v>1539</v>
      </c>
      <c r="E240" s="8" t="s">
        <v>1540</v>
      </c>
      <c r="F240" s="8" t="s">
        <v>1541</v>
      </c>
      <c r="G240" s="6" t="s">
        <v>63</v>
      </c>
      <c r="H240" s="6" t="s">
        <v>64</v>
      </c>
      <c r="I240" s="8" t="s">
        <v>83</v>
      </c>
      <c r="J240" s="9">
        <v>1</v>
      </c>
      <c r="K240" s="9">
        <v>248</v>
      </c>
      <c r="L240" s="9">
        <v>2023</v>
      </c>
      <c r="M240" s="8" t="s">
        <v>1542</v>
      </c>
      <c r="N240" s="8" t="s">
        <v>41</v>
      </c>
      <c r="O240" s="8" t="s">
        <v>97</v>
      </c>
      <c r="P240" s="6" t="s">
        <v>67</v>
      </c>
      <c r="Q240" s="8" t="s">
        <v>86</v>
      </c>
      <c r="R240" s="10" t="s">
        <v>373</v>
      </c>
      <c r="S240" s="11" t="s">
        <v>680</v>
      </c>
      <c r="T240" s="6"/>
      <c r="U240" s="28" t="str">
        <f>HYPERLINK("https://media.infra-m.ru/2006/2006066/cover/2006066.jpg", "Обложка")</f>
        <v>Обложка</v>
      </c>
      <c r="V240" s="28" t="str">
        <f>HYPERLINK("https://znanium.com/catalog/product/1227695", "Ознакомиться")</f>
        <v>Ознакомиться</v>
      </c>
      <c r="W240" s="8" t="s">
        <v>1543</v>
      </c>
      <c r="X240" s="6"/>
      <c r="Y240" s="6"/>
      <c r="Z240" s="6"/>
      <c r="AA240" s="6" t="s">
        <v>71</v>
      </c>
    </row>
    <row r="241" spans="1:27" s="4" customFormat="1" ht="51.95" customHeight="1">
      <c r="A241" s="5">
        <v>0</v>
      </c>
      <c r="B241" s="6" t="s">
        <v>1544</v>
      </c>
      <c r="C241" s="7">
        <v>794.9</v>
      </c>
      <c r="D241" s="8" t="s">
        <v>1545</v>
      </c>
      <c r="E241" s="8" t="s">
        <v>1546</v>
      </c>
      <c r="F241" s="8" t="s">
        <v>1547</v>
      </c>
      <c r="G241" s="6" t="s">
        <v>37</v>
      </c>
      <c r="H241" s="6" t="s">
        <v>64</v>
      </c>
      <c r="I241" s="8" t="s">
        <v>83</v>
      </c>
      <c r="J241" s="9">
        <v>1</v>
      </c>
      <c r="K241" s="9">
        <v>176</v>
      </c>
      <c r="L241" s="9">
        <v>2023</v>
      </c>
      <c r="M241" s="8" t="s">
        <v>1548</v>
      </c>
      <c r="N241" s="8" t="s">
        <v>41</v>
      </c>
      <c r="O241" s="8" t="s">
        <v>97</v>
      </c>
      <c r="P241" s="6" t="s">
        <v>54</v>
      </c>
      <c r="Q241" s="8" t="s">
        <v>86</v>
      </c>
      <c r="R241" s="10" t="s">
        <v>1408</v>
      </c>
      <c r="S241" s="11" t="s">
        <v>1549</v>
      </c>
      <c r="T241" s="6"/>
      <c r="U241" s="28" t="str">
        <f>HYPERLINK("https://media.infra-m.ru/1897/1897688/cover/1897688.jpg", "Обложка")</f>
        <v>Обложка</v>
      </c>
      <c r="V241" s="28" t="str">
        <f>HYPERLINK("https://znanium.com/catalog/product/1851529", "Ознакомиться")</f>
        <v>Ознакомиться</v>
      </c>
      <c r="W241" s="8" t="s">
        <v>1543</v>
      </c>
      <c r="X241" s="6"/>
      <c r="Y241" s="6"/>
      <c r="Z241" s="6"/>
      <c r="AA241" s="6" t="s">
        <v>927</v>
      </c>
    </row>
    <row r="242" spans="1:27" s="4" customFormat="1" ht="51.95" customHeight="1">
      <c r="A242" s="5">
        <v>0</v>
      </c>
      <c r="B242" s="6" t="s">
        <v>1550</v>
      </c>
      <c r="C242" s="7">
        <v>954</v>
      </c>
      <c r="D242" s="8" t="s">
        <v>1551</v>
      </c>
      <c r="E242" s="8" t="s">
        <v>1552</v>
      </c>
      <c r="F242" s="8" t="s">
        <v>1553</v>
      </c>
      <c r="G242" s="6" t="s">
        <v>63</v>
      </c>
      <c r="H242" s="6" t="s">
        <v>64</v>
      </c>
      <c r="I242" s="8" t="s">
        <v>185</v>
      </c>
      <c r="J242" s="9">
        <v>1</v>
      </c>
      <c r="K242" s="9">
        <v>208</v>
      </c>
      <c r="L242" s="9">
        <v>2023</v>
      </c>
      <c r="M242" s="8" t="s">
        <v>1554</v>
      </c>
      <c r="N242" s="8" t="s">
        <v>41</v>
      </c>
      <c r="O242" s="8" t="s">
        <v>97</v>
      </c>
      <c r="P242" s="6" t="s">
        <v>54</v>
      </c>
      <c r="Q242" s="8" t="s">
        <v>134</v>
      </c>
      <c r="R242" s="10" t="s">
        <v>1555</v>
      </c>
      <c r="S242" s="11" t="s">
        <v>1024</v>
      </c>
      <c r="T242" s="6"/>
      <c r="U242" s="28" t="str">
        <f>HYPERLINK("https://media.infra-m.ru/2048/2048859/cover/2048859.jpg", "Обложка")</f>
        <v>Обложка</v>
      </c>
      <c r="V242" s="28" t="str">
        <f>HYPERLINK("https://znanium.com/catalog/product/2039151", "Ознакомиться")</f>
        <v>Ознакомиться</v>
      </c>
      <c r="W242" s="8" t="s">
        <v>1556</v>
      </c>
      <c r="X242" s="6"/>
      <c r="Y242" s="6"/>
      <c r="Z242" s="6"/>
      <c r="AA242" s="6" t="s">
        <v>632</v>
      </c>
    </row>
    <row r="243" spans="1:27" s="4" customFormat="1" ht="42" customHeight="1">
      <c r="A243" s="5">
        <v>0</v>
      </c>
      <c r="B243" s="6" t="s">
        <v>1557</v>
      </c>
      <c r="C243" s="7">
        <v>420</v>
      </c>
      <c r="D243" s="8" t="s">
        <v>1558</v>
      </c>
      <c r="E243" s="8" t="s">
        <v>1559</v>
      </c>
      <c r="F243" s="8" t="s">
        <v>1560</v>
      </c>
      <c r="G243" s="6" t="s">
        <v>37</v>
      </c>
      <c r="H243" s="6" t="s">
        <v>64</v>
      </c>
      <c r="I243" s="8" t="s">
        <v>39</v>
      </c>
      <c r="J243" s="9">
        <v>1</v>
      </c>
      <c r="K243" s="9">
        <v>126</v>
      </c>
      <c r="L243" s="9">
        <v>2018</v>
      </c>
      <c r="M243" s="8" t="s">
        <v>1561</v>
      </c>
      <c r="N243" s="8" t="s">
        <v>41</v>
      </c>
      <c r="O243" s="8" t="s">
        <v>97</v>
      </c>
      <c r="P243" s="6" t="s">
        <v>43</v>
      </c>
      <c r="Q243" s="8" t="s">
        <v>44</v>
      </c>
      <c r="R243" s="10" t="s">
        <v>98</v>
      </c>
      <c r="S243" s="11"/>
      <c r="T243" s="6"/>
      <c r="U243" s="28" t="str">
        <f>HYPERLINK("https://media.infra-m.ru/0972/0972676/cover/972676.jpg", "Обложка")</f>
        <v>Обложка</v>
      </c>
      <c r="V243" s="28" t="str">
        <f>HYPERLINK("https://znanium.com/catalog/product/972676", "Ознакомиться")</f>
        <v>Ознакомиться</v>
      </c>
      <c r="W243" s="8" t="s">
        <v>1562</v>
      </c>
      <c r="X243" s="6"/>
      <c r="Y243" s="6"/>
      <c r="Z243" s="6"/>
      <c r="AA243" s="6" t="s">
        <v>251</v>
      </c>
    </row>
    <row r="244" spans="1:27" s="4" customFormat="1" ht="51.95" customHeight="1">
      <c r="A244" s="5">
        <v>0</v>
      </c>
      <c r="B244" s="6" t="s">
        <v>1563</v>
      </c>
      <c r="C244" s="13">
        <v>1500</v>
      </c>
      <c r="D244" s="8" t="s">
        <v>1564</v>
      </c>
      <c r="E244" s="8" t="s">
        <v>1565</v>
      </c>
      <c r="F244" s="8" t="s">
        <v>1566</v>
      </c>
      <c r="G244" s="6" t="s">
        <v>63</v>
      </c>
      <c r="H244" s="6" t="s">
        <v>64</v>
      </c>
      <c r="I244" s="8" t="s">
        <v>83</v>
      </c>
      <c r="J244" s="9">
        <v>1</v>
      </c>
      <c r="K244" s="9">
        <v>333</v>
      </c>
      <c r="L244" s="9">
        <v>2023</v>
      </c>
      <c r="M244" s="8" t="s">
        <v>1567</v>
      </c>
      <c r="N244" s="8" t="s">
        <v>41</v>
      </c>
      <c r="O244" s="8" t="s">
        <v>85</v>
      </c>
      <c r="P244" s="6" t="s">
        <v>67</v>
      </c>
      <c r="Q244" s="8" t="s">
        <v>86</v>
      </c>
      <c r="R244" s="10" t="s">
        <v>1568</v>
      </c>
      <c r="S244" s="11" t="s">
        <v>1569</v>
      </c>
      <c r="T244" s="6"/>
      <c r="U244" s="28" t="str">
        <f>HYPERLINK("https://media.infra-m.ru/1991/1991048/cover/1991048.jpg", "Обложка")</f>
        <v>Обложка</v>
      </c>
      <c r="V244" s="28" t="str">
        <f>HYPERLINK("https://znanium.com/catalog/product/1991048", "Ознакомиться")</f>
        <v>Ознакомиться</v>
      </c>
      <c r="W244" s="8" t="s">
        <v>110</v>
      </c>
      <c r="X244" s="6"/>
      <c r="Y244" s="6"/>
      <c r="Z244" s="6"/>
      <c r="AA244" s="6" t="s">
        <v>90</v>
      </c>
    </row>
    <row r="245" spans="1:27" s="4" customFormat="1" ht="51.95" customHeight="1">
      <c r="A245" s="5">
        <v>0</v>
      </c>
      <c r="B245" s="6" t="s">
        <v>1570</v>
      </c>
      <c r="C245" s="13">
        <v>1324</v>
      </c>
      <c r="D245" s="8" t="s">
        <v>1571</v>
      </c>
      <c r="E245" s="8" t="s">
        <v>1565</v>
      </c>
      <c r="F245" s="8" t="s">
        <v>1572</v>
      </c>
      <c r="G245" s="6" t="s">
        <v>37</v>
      </c>
      <c r="H245" s="6" t="s">
        <v>357</v>
      </c>
      <c r="I245" s="8" t="s">
        <v>83</v>
      </c>
      <c r="J245" s="9">
        <v>1</v>
      </c>
      <c r="K245" s="9">
        <v>288</v>
      </c>
      <c r="L245" s="9">
        <v>2024</v>
      </c>
      <c r="M245" s="8" t="s">
        <v>1573</v>
      </c>
      <c r="N245" s="8" t="s">
        <v>41</v>
      </c>
      <c r="O245" s="8" t="s">
        <v>85</v>
      </c>
      <c r="P245" s="6" t="s">
        <v>67</v>
      </c>
      <c r="Q245" s="8" t="s">
        <v>86</v>
      </c>
      <c r="R245" s="10" t="s">
        <v>1210</v>
      </c>
      <c r="S245" s="11" t="s">
        <v>1574</v>
      </c>
      <c r="T245" s="6"/>
      <c r="U245" s="28" t="str">
        <f>HYPERLINK("https://media.infra-m.ru/2091/2091895/cover/2091895.jpg", "Обложка")</f>
        <v>Обложка</v>
      </c>
      <c r="V245" s="28" t="str">
        <f>HYPERLINK("https://znanium.com/catalog/product/1843742", "Ознакомиться")</f>
        <v>Ознакомиться</v>
      </c>
      <c r="W245" s="8" t="s">
        <v>1575</v>
      </c>
      <c r="X245" s="6"/>
      <c r="Y245" s="6"/>
      <c r="Z245" s="6"/>
      <c r="AA245" s="6" t="s">
        <v>317</v>
      </c>
    </row>
    <row r="246" spans="1:27" s="4" customFormat="1" ht="51.95" customHeight="1">
      <c r="A246" s="5">
        <v>0</v>
      </c>
      <c r="B246" s="6" t="s">
        <v>1576</v>
      </c>
      <c r="C246" s="13">
        <v>1140</v>
      </c>
      <c r="D246" s="8" t="s">
        <v>1577</v>
      </c>
      <c r="E246" s="8" t="s">
        <v>1578</v>
      </c>
      <c r="F246" s="8" t="s">
        <v>1579</v>
      </c>
      <c r="G246" s="6" t="s">
        <v>37</v>
      </c>
      <c r="H246" s="6" t="s">
        <v>64</v>
      </c>
      <c r="I246" s="8" t="s">
        <v>39</v>
      </c>
      <c r="J246" s="9">
        <v>1</v>
      </c>
      <c r="K246" s="9">
        <v>270</v>
      </c>
      <c r="L246" s="9">
        <v>2022</v>
      </c>
      <c r="M246" s="8" t="s">
        <v>1580</v>
      </c>
      <c r="N246" s="8" t="s">
        <v>41</v>
      </c>
      <c r="O246" s="8" t="s">
        <v>97</v>
      </c>
      <c r="P246" s="6" t="s">
        <v>43</v>
      </c>
      <c r="Q246" s="8" t="s">
        <v>44</v>
      </c>
      <c r="R246" s="10" t="s">
        <v>1581</v>
      </c>
      <c r="S246" s="11"/>
      <c r="T246" s="6"/>
      <c r="U246" s="28" t="str">
        <f>HYPERLINK("https://media.infra-m.ru/1836/1836241/cover/1836241.jpg", "Обложка")</f>
        <v>Обложка</v>
      </c>
      <c r="V246" s="28" t="str">
        <f>HYPERLINK("https://znanium.com/catalog/product/1836241", "Ознакомиться")</f>
        <v>Ознакомиться</v>
      </c>
      <c r="W246" s="8" t="s">
        <v>1582</v>
      </c>
      <c r="X246" s="6"/>
      <c r="Y246" s="6"/>
      <c r="Z246" s="6"/>
      <c r="AA246" s="6" t="s">
        <v>687</v>
      </c>
    </row>
    <row r="247" spans="1:27" s="4" customFormat="1" ht="42" customHeight="1">
      <c r="A247" s="5">
        <v>0</v>
      </c>
      <c r="B247" s="6" t="s">
        <v>1583</v>
      </c>
      <c r="C247" s="7">
        <v>544.9</v>
      </c>
      <c r="D247" s="8" t="s">
        <v>1584</v>
      </c>
      <c r="E247" s="8" t="s">
        <v>1585</v>
      </c>
      <c r="F247" s="8" t="s">
        <v>1586</v>
      </c>
      <c r="G247" s="6" t="s">
        <v>37</v>
      </c>
      <c r="H247" s="6" t="s">
        <v>64</v>
      </c>
      <c r="I247" s="8" t="s">
        <v>39</v>
      </c>
      <c r="J247" s="9">
        <v>1</v>
      </c>
      <c r="K247" s="9">
        <v>114</v>
      </c>
      <c r="L247" s="9">
        <v>2023</v>
      </c>
      <c r="M247" s="8" t="s">
        <v>1587</v>
      </c>
      <c r="N247" s="8" t="s">
        <v>41</v>
      </c>
      <c r="O247" s="8" t="s">
        <v>97</v>
      </c>
      <c r="P247" s="6" t="s">
        <v>43</v>
      </c>
      <c r="Q247" s="8" t="s">
        <v>44</v>
      </c>
      <c r="R247" s="10" t="s">
        <v>555</v>
      </c>
      <c r="S247" s="11"/>
      <c r="T247" s="6"/>
      <c r="U247" s="28" t="str">
        <f>HYPERLINK("https://media.infra-m.ru/1894/1894027/cover/1894027.jpg", "Обложка")</f>
        <v>Обложка</v>
      </c>
      <c r="V247" s="28" t="str">
        <f>HYPERLINK("https://znanium.com/catalog/product/936058", "Ознакомиться")</f>
        <v>Ознакомиться</v>
      </c>
      <c r="W247" s="8" t="s">
        <v>70</v>
      </c>
      <c r="X247" s="6"/>
      <c r="Y247" s="6"/>
      <c r="Z247" s="6"/>
      <c r="AA247" s="6" t="s">
        <v>71</v>
      </c>
    </row>
    <row r="248" spans="1:27" s="4" customFormat="1" ht="51.95" customHeight="1">
      <c r="A248" s="5">
        <v>0</v>
      </c>
      <c r="B248" s="6" t="s">
        <v>1588</v>
      </c>
      <c r="C248" s="7">
        <v>960</v>
      </c>
      <c r="D248" s="8" t="s">
        <v>1589</v>
      </c>
      <c r="E248" s="8" t="s">
        <v>1590</v>
      </c>
      <c r="F248" s="8" t="s">
        <v>1591</v>
      </c>
      <c r="G248" s="6" t="s">
        <v>63</v>
      </c>
      <c r="H248" s="6" t="s">
        <v>64</v>
      </c>
      <c r="I248" s="8" t="s">
        <v>1592</v>
      </c>
      <c r="J248" s="9">
        <v>1</v>
      </c>
      <c r="K248" s="9">
        <v>248</v>
      </c>
      <c r="L248" s="9">
        <v>2022</v>
      </c>
      <c r="M248" s="8" t="s">
        <v>1593</v>
      </c>
      <c r="N248" s="8" t="s">
        <v>41</v>
      </c>
      <c r="O248" s="8" t="s">
        <v>42</v>
      </c>
      <c r="P248" s="6" t="s">
        <v>43</v>
      </c>
      <c r="Q248" s="8" t="s">
        <v>44</v>
      </c>
      <c r="R248" s="10" t="s">
        <v>1594</v>
      </c>
      <c r="S248" s="11"/>
      <c r="T248" s="6"/>
      <c r="U248" s="28" t="str">
        <f>HYPERLINK("https://media.infra-m.ru/1859/1859025/cover/1859025.jpg", "Обложка")</f>
        <v>Обложка</v>
      </c>
      <c r="V248" s="28" t="str">
        <f>HYPERLINK("https://znanium.com/catalog/product/1859025", "Ознакомиться")</f>
        <v>Ознакомиться</v>
      </c>
      <c r="W248" s="8" t="s">
        <v>1180</v>
      </c>
      <c r="X248" s="6"/>
      <c r="Y248" s="6"/>
      <c r="Z248" s="6"/>
      <c r="AA248" s="6" t="s">
        <v>206</v>
      </c>
    </row>
    <row r="249" spans="1:27" s="4" customFormat="1" ht="42" customHeight="1">
      <c r="A249" s="5">
        <v>0</v>
      </c>
      <c r="B249" s="6" t="s">
        <v>1595</v>
      </c>
      <c r="C249" s="7">
        <v>990</v>
      </c>
      <c r="D249" s="8" t="s">
        <v>1596</v>
      </c>
      <c r="E249" s="8" t="s">
        <v>1597</v>
      </c>
      <c r="F249" s="8" t="s">
        <v>1598</v>
      </c>
      <c r="G249" s="6" t="s">
        <v>37</v>
      </c>
      <c r="H249" s="6" t="s">
        <v>64</v>
      </c>
      <c r="I249" s="8" t="s">
        <v>39</v>
      </c>
      <c r="J249" s="9">
        <v>1</v>
      </c>
      <c r="K249" s="9">
        <v>220</v>
      </c>
      <c r="L249" s="9">
        <v>2023</v>
      </c>
      <c r="M249" s="8" t="s">
        <v>1599</v>
      </c>
      <c r="N249" s="8" t="s">
        <v>41</v>
      </c>
      <c r="O249" s="8" t="s">
        <v>97</v>
      </c>
      <c r="P249" s="6" t="s">
        <v>43</v>
      </c>
      <c r="Q249" s="8" t="s">
        <v>44</v>
      </c>
      <c r="R249" s="10" t="s">
        <v>98</v>
      </c>
      <c r="S249" s="11"/>
      <c r="T249" s="6"/>
      <c r="U249" s="28" t="str">
        <f>HYPERLINK("https://media.infra-m.ru/2019/2019758/cover/2019758.jpg", "Обложка")</f>
        <v>Обложка</v>
      </c>
      <c r="V249" s="28" t="str">
        <f>HYPERLINK("https://znanium.com/catalog/product/2019758", "Ознакомиться")</f>
        <v>Ознакомиться</v>
      </c>
      <c r="W249" s="8" t="s">
        <v>1600</v>
      </c>
      <c r="X249" s="6"/>
      <c r="Y249" s="6"/>
      <c r="Z249" s="6"/>
      <c r="AA249" s="6" t="s">
        <v>90</v>
      </c>
    </row>
    <row r="250" spans="1:27" s="4" customFormat="1" ht="51.95" customHeight="1">
      <c r="A250" s="5">
        <v>0</v>
      </c>
      <c r="B250" s="6" t="s">
        <v>1601</v>
      </c>
      <c r="C250" s="7">
        <v>560</v>
      </c>
      <c r="D250" s="8" t="s">
        <v>1602</v>
      </c>
      <c r="E250" s="8" t="s">
        <v>1603</v>
      </c>
      <c r="F250" s="8" t="s">
        <v>473</v>
      </c>
      <c r="G250" s="6" t="s">
        <v>37</v>
      </c>
      <c r="H250" s="6" t="s">
        <v>347</v>
      </c>
      <c r="I250" s="8"/>
      <c r="J250" s="9">
        <v>1</v>
      </c>
      <c r="K250" s="9">
        <v>124</v>
      </c>
      <c r="L250" s="9">
        <v>2023</v>
      </c>
      <c r="M250" s="8" t="s">
        <v>1604</v>
      </c>
      <c r="N250" s="8" t="s">
        <v>41</v>
      </c>
      <c r="O250" s="8" t="s">
        <v>97</v>
      </c>
      <c r="P250" s="6" t="s">
        <v>43</v>
      </c>
      <c r="Q250" s="8" t="s">
        <v>44</v>
      </c>
      <c r="R250" s="10" t="s">
        <v>1605</v>
      </c>
      <c r="S250" s="11"/>
      <c r="T250" s="6"/>
      <c r="U250" s="28" t="str">
        <f>HYPERLINK("https://media.infra-m.ru/1912/1912396/cover/1912396.jpg", "Обложка")</f>
        <v>Обложка</v>
      </c>
      <c r="V250" s="28" t="str">
        <f>HYPERLINK("https://znanium.com/catalog/product/1912396", "Ознакомиться")</f>
        <v>Ознакомиться</v>
      </c>
      <c r="W250" s="8" t="s">
        <v>476</v>
      </c>
      <c r="X250" s="6"/>
      <c r="Y250" s="6"/>
      <c r="Z250" s="6"/>
      <c r="AA250" s="6" t="s">
        <v>71</v>
      </c>
    </row>
    <row r="251" spans="1:27" s="4" customFormat="1" ht="51.95" customHeight="1">
      <c r="A251" s="5">
        <v>0</v>
      </c>
      <c r="B251" s="6" t="s">
        <v>1606</v>
      </c>
      <c r="C251" s="13">
        <v>1434</v>
      </c>
      <c r="D251" s="8" t="s">
        <v>1607</v>
      </c>
      <c r="E251" s="8" t="s">
        <v>1608</v>
      </c>
      <c r="F251" s="8" t="s">
        <v>1609</v>
      </c>
      <c r="G251" s="6" t="s">
        <v>63</v>
      </c>
      <c r="H251" s="6" t="s">
        <v>64</v>
      </c>
      <c r="I251" s="8" t="s">
        <v>83</v>
      </c>
      <c r="J251" s="9">
        <v>1</v>
      </c>
      <c r="K251" s="9">
        <v>310</v>
      </c>
      <c r="L251" s="9">
        <v>2024</v>
      </c>
      <c r="M251" s="8" t="s">
        <v>1610</v>
      </c>
      <c r="N251" s="8" t="s">
        <v>41</v>
      </c>
      <c r="O251" s="8" t="s">
        <v>97</v>
      </c>
      <c r="P251" s="6" t="s">
        <v>54</v>
      </c>
      <c r="Q251" s="8" t="s">
        <v>86</v>
      </c>
      <c r="R251" s="10" t="s">
        <v>1611</v>
      </c>
      <c r="S251" s="11" t="s">
        <v>1612</v>
      </c>
      <c r="T251" s="6"/>
      <c r="U251" s="28" t="str">
        <f>HYPERLINK("https://media.infra-m.ru/2094/2094363/cover/2094363.jpg", "Обложка")</f>
        <v>Обложка</v>
      </c>
      <c r="V251" s="28" t="str">
        <f>HYPERLINK("https://znanium.com/catalog/product/1842527", "Ознакомиться")</f>
        <v>Ознакомиться</v>
      </c>
      <c r="W251" s="8" t="s">
        <v>579</v>
      </c>
      <c r="X251" s="6"/>
      <c r="Y251" s="6"/>
      <c r="Z251" s="6"/>
      <c r="AA251" s="6" t="s">
        <v>251</v>
      </c>
    </row>
    <row r="252" spans="1:27" s="4" customFormat="1" ht="42" customHeight="1">
      <c r="A252" s="5">
        <v>0</v>
      </c>
      <c r="B252" s="6" t="s">
        <v>1613</v>
      </c>
      <c r="C252" s="7">
        <v>650</v>
      </c>
      <c r="D252" s="8" t="s">
        <v>1614</v>
      </c>
      <c r="E252" s="8" t="s">
        <v>1615</v>
      </c>
      <c r="F252" s="8" t="s">
        <v>568</v>
      </c>
      <c r="G252" s="6" t="s">
        <v>37</v>
      </c>
      <c r="H252" s="6" t="s">
        <v>64</v>
      </c>
      <c r="I252" s="8" t="s">
        <v>39</v>
      </c>
      <c r="J252" s="9">
        <v>1</v>
      </c>
      <c r="K252" s="9">
        <v>162</v>
      </c>
      <c r="L252" s="9">
        <v>2020</v>
      </c>
      <c r="M252" s="8" t="s">
        <v>1616</v>
      </c>
      <c r="N252" s="8" t="s">
        <v>41</v>
      </c>
      <c r="O252" s="8" t="s">
        <v>97</v>
      </c>
      <c r="P252" s="6" t="s">
        <v>43</v>
      </c>
      <c r="Q252" s="8" t="s">
        <v>44</v>
      </c>
      <c r="R252" s="10" t="s">
        <v>1617</v>
      </c>
      <c r="S252" s="11"/>
      <c r="T252" s="6"/>
      <c r="U252" s="28" t="str">
        <f>HYPERLINK("https://media.infra-m.ru/1080/1080408/cover/1080408.jpg", "Обложка")</f>
        <v>Обложка</v>
      </c>
      <c r="V252" s="28" t="str">
        <f>HYPERLINK("https://znanium.com/catalog/product/1080408", "Ознакомиться")</f>
        <v>Ознакомиться</v>
      </c>
      <c r="W252" s="8" t="s">
        <v>571</v>
      </c>
      <c r="X252" s="6"/>
      <c r="Y252" s="6"/>
      <c r="Z252" s="6"/>
      <c r="AA252" s="6" t="s">
        <v>401</v>
      </c>
    </row>
    <row r="253" spans="1:27" s="4" customFormat="1" ht="44.1" customHeight="1">
      <c r="A253" s="5">
        <v>0</v>
      </c>
      <c r="B253" s="6" t="s">
        <v>1618</v>
      </c>
      <c r="C253" s="7">
        <v>454.9</v>
      </c>
      <c r="D253" s="8" t="s">
        <v>1619</v>
      </c>
      <c r="E253" s="8" t="s">
        <v>1620</v>
      </c>
      <c r="F253" s="8" t="s">
        <v>1621</v>
      </c>
      <c r="G253" s="6" t="s">
        <v>37</v>
      </c>
      <c r="H253" s="6" t="s">
        <v>64</v>
      </c>
      <c r="I253" s="8" t="s">
        <v>83</v>
      </c>
      <c r="J253" s="9">
        <v>1</v>
      </c>
      <c r="K253" s="9">
        <v>100</v>
      </c>
      <c r="L253" s="9">
        <v>2023</v>
      </c>
      <c r="M253" s="8" t="s">
        <v>1622</v>
      </c>
      <c r="N253" s="8" t="s">
        <v>41</v>
      </c>
      <c r="O253" s="8" t="s">
        <v>97</v>
      </c>
      <c r="P253" s="6" t="s">
        <v>54</v>
      </c>
      <c r="Q253" s="8" t="s">
        <v>86</v>
      </c>
      <c r="R253" s="10" t="s">
        <v>1623</v>
      </c>
      <c r="S253" s="11"/>
      <c r="T253" s="6"/>
      <c r="U253" s="28" t="str">
        <f>HYPERLINK("https://media.infra-m.ru/1981/1981700/cover/1981700.jpg", "Обложка")</f>
        <v>Обложка</v>
      </c>
      <c r="V253" s="28" t="str">
        <f>HYPERLINK("https://znanium.com/catalog/product/1817906", "Ознакомиться")</f>
        <v>Ознакомиться</v>
      </c>
      <c r="W253" s="8" t="s">
        <v>120</v>
      </c>
      <c r="X253" s="6"/>
      <c r="Y253" s="6"/>
      <c r="Z253" s="6"/>
      <c r="AA253" s="6" t="s">
        <v>47</v>
      </c>
    </row>
    <row r="254" spans="1:27" s="4" customFormat="1" ht="51.95" customHeight="1">
      <c r="A254" s="5">
        <v>0</v>
      </c>
      <c r="B254" s="6" t="s">
        <v>1624</v>
      </c>
      <c r="C254" s="7">
        <v>854.9</v>
      </c>
      <c r="D254" s="8" t="s">
        <v>1625</v>
      </c>
      <c r="E254" s="8" t="s">
        <v>1626</v>
      </c>
      <c r="F254" s="8" t="s">
        <v>1627</v>
      </c>
      <c r="G254" s="6" t="s">
        <v>95</v>
      </c>
      <c r="H254" s="6" t="s">
        <v>64</v>
      </c>
      <c r="I254" s="8" t="s">
        <v>83</v>
      </c>
      <c r="J254" s="9">
        <v>1</v>
      </c>
      <c r="K254" s="9">
        <v>189</v>
      </c>
      <c r="L254" s="9">
        <v>2023</v>
      </c>
      <c r="M254" s="8" t="s">
        <v>1628</v>
      </c>
      <c r="N254" s="8" t="s">
        <v>41</v>
      </c>
      <c r="O254" s="8" t="s">
        <v>97</v>
      </c>
      <c r="P254" s="6" t="s">
        <v>54</v>
      </c>
      <c r="Q254" s="8" t="s">
        <v>86</v>
      </c>
      <c r="R254" s="10" t="s">
        <v>1629</v>
      </c>
      <c r="S254" s="11" t="s">
        <v>1630</v>
      </c>
      <c r="T254" s="6"/>
      <c r="U254" s="28" t="str">
        <f>HYPERLINK("https://media.infra-m.ru/1981/1981671/cover/1981671.jpg", "Обложка")</f>
        <v>Обложка</v>
      </c>
      <c r="V254" s="28" t="str">
        <f>HYPERLINK("https://znanium.com/catalog/product/1855493", "Ознакомиться")</f>
        <v>Ознакомиться</v>
      </c>
      <c r="W254" s="8" t="s">
        <v>484</v>
      </c>
      <c r="X254" s="6"/>
      <c r="Y254" s="6"/>
      <c r="Z254" s="6"/>
      <c r="AA254" s="6" t="s">
        <v>90</v>
      </c>
    </row>
    <row r="255" spans="1:27" s="4" customFormat="1" ht="51.95" customHeight="1">
      <c r="A255" s="5">
        <v>0</v>
      </c>
      <c r="B255" s="6" t="s">
        <v>1631</v>
      </c>
      <c r="C255" s="7">
        <v>794.9</v>
      </c>
      <c r="D255" s="8" t="s">
        <v>1632</v>
      </c>
      <c r="E255" s="8" t="s">
        <v>1633</v>
      </c>
      <c r="F255" s="8" t="s">
        <v>1634</v>
      </c>
      <c r="G255" s="6" t="s">
        <v>95</v>
      </c>
      <c r="H255" s="6" t="s">
        <v>64</v>
      </c>
      <c r="I255" s="8" t="s">
        <v>83</v>
      </c>
      <c r="J255" s="9">
        <v>1</v>
      </c>
      <c r="K255" s="9">
        <v>176</v>
      </c>
      <c r="L255" s="9">
        <v>2023</v>
      </c>
      <c r="M255" s="8" t="s">
        <v>1635</v>
      </c>
      <c r="N255" s="8" t="s">
        <v>41</v>
      </c>
      <c r="O255" s="8" t="s">
        <v>97</v>
      </c>
      <c r="P255" s="6" t="s">
        <v>54</v>
      </c>
      <c r="Q255" s="8" t="s">
        <v>86</v>
      </c>
      <c r="R255" s="10" t="s">
        <v>1636</v>
      </c>
      <c r="S255" s="11" t="s">
        <v>1637</v>
      </c>
      <c r="T255" s="6" t="s">
        <v>144</v>
      </c>
      <c r="U255" s="28" t="str">
        <f>HYPERLINK("https://media.infra-m.ru/1891/1891922/cover/1891922.jpg", "Обложка")</f>
        <v>Обложка</v>
      </c>
      <c r="V255" s="28" t="str">
        <f>HYPERLINK("https://znanium.com/catalog/product/1010084", "Ознакомиться")</f>
        <v>Ознакомиться</v>
      </c>
      <c r="W255" s="8" t="s">
        <v>484</v>
      </c>
      <c r="X255" s="6"/>
      <c r="Y255" s="6"/>
      <c r="Z255" s="6"/>
      <c r="AA255" s="6" t="s">
        <v>47</v>
      </c>
    </row>
    <row r="256" spans="1:27" s="4" customFormat="1" ht="51.95" customHeight="1">
      <c r="A256" s="5">
        <v>0</v>
      </c>
      <c r="B256" s="6" t="s">
        <v>1638</v>
      </c>
      <c r="C256" s="7">
        <v>900</v>
      </c>
      <c r="D256" s="8" t="s">
        <v>1639</v>
      </c>
      <c r="E256" s="8" t="s">
        <v>1640</v>
      </c>
      <c r="F256" s="8" t="s">
        <v>1641</v>
      </c>
      <c r="G256" s="6" t="s">
        <v>37</v>
      </c>
      <c r="H256" s="6" t="s">
        <v>64</v>
      </c>
      <c r="I256" s="8" t="s">
        <v>39</v>
      </c>
      <c r="J256" s="9">
        <v>1</v>
      </c>
      <c r="K256" s="9">
        <v>219</v>
      </c>
      <c r="L256" s="9">
        <v>2022</v>
      </c>
      <c r="M256" s="8" t="s">
        <v>1642</v>
      </c>
      <c r="N256" s="8" t="s">
        <v>41</v>
      </c>
      <c r="O256" s="8" t="s">
        <v>97</v>
      </c>
      <c r="P256" s="6" t="s">
        <v>43</v>
      </c>
      <c r="Q256" s="8" t="s">
        <v>44</v>
      </c>
      <c r="R256" s="10" t="s">
        <v>1643</v>
      </c>
      <c r="S256" s="11"/>
      <c r="T256" s="6"/>
      <c r="U256" s="28" t="str">
        <f>HYPERLINK("https://media.infra-m.ru/1811/1811252/cover/1811252.jpg", "Обложка")</f>
        <v>Обложка</v>
      </c>
      <c r="V256" s="28" t="str">
        <f>HYPERLINK("https://znanium.com/catalog/product/1811252", "Ознакомиться")</f>
        <v>Ознакомиться</v>
      </c>
      <c r="W256" s="8" t="s">
        <v>1644</v>
      </c>
      <c r="X256" s="6"/>
      <c r="Y256" s="6"/>
      <c r="Z256" s="6"/>
      <c r="AA256" s="6" t="s">
        <v>58</v>
      </c>
    </row>
    <row r="257" spans="1:27" s="4" customFormat="1" ht="42" customHeight="1">
      <c r="A257" s="5">
        <v>0</v>
      </c>
      <c r="B257" s="6" t="s">
        <v>1645</v>
      </c>
      <c r="C257" s="7">
        <v>990</v>
      </c>
      <c r="D257" s="8" t="s">
        <v>1646</v>
      </c>
      <c r="E257" s="8" t="s">
        <v>1647</v>
      </c>
      <c r="F257" s="8" t="s">
        <v>1641</v>
      </c>
      <c r="G257" s="6" t="s">
        <v>37</v>
      </c>
      <c r="H257" s="6" t="s">
        <v>64</v>
      </c>
      <c r="I257" s="8" t="s">
        <v>39</v>
      </c>
      <c r="J257" s="9">
        <v>1</v>
      </c>
      <c r="K257" s="9">
        <v>221</v>
      </c>
      <c r="L257" s="9">
        <v>2023</v>
      </c>
      <c r="M257" s="8" t="s">
        <v>1648</v>
      </c>
      <c r="N257" s="8" t="s">
        <v>41</v>
      </c>
      <c r="O257" s="8" t="s">
        <v>97</v>
      </c>
      <c r="P257" s="6" t="s">
        <v>43</v>
      </c>
      <c r="Q257" s="8" t="s">
        <v>44</v>
      </c>
      <c r="R257" s="10" t="s">
        <v>1649</v>
      </c>
      <c r="S257" s="11"/>
      <c r="T257" s="6"/>
      <c r="U257" s="28" t="str">
        <f>HYPERLINK("https://media.infra-m.ru/1989/1989308/cover/1989308.jpg", "Обложка")</f>
        <v>Обложка</v>
      </c>
      <c r="V257" s="28" t="str">
        <f>HYPERLINK("https://znanium.com/catalog/product/1989308", "Ознакомиться")</f>
        <v>Ознакомиться</v>
      </c>
      <c r="W257" s="8" t="s">
        <v>1644</v>
      </c>
      <c r="X257" s="6"/>
      <c r="Y257" s="6"/>
      <c r="Z257" s="6"/>
      <c r="AA257" s="6" t="s">
        <v>687</v>
      </c>
    </row>
    <row r="258" spans="1:27" s="4" customFormat="1" ht="51.95" customHeight="1">
      <c r="A258" s="5">
        <v>0</v>
      </c>
      <c r="B258" s="6" t="s">
        <v>1650</v>
      </c>
      <c r="C258" s="7">
        <v>614.9</v>
      </c>
      <c r="D258" s="8" t="s">
        <v>1651</v>
      </c>
      <c r="E258" s="8" t="s">
        <v>1652</v>
      </c>
      <c r="F258" s="8" t="s">
        <v>1653</v>
      </c>
      <c r="G258" s="6" t="s">
        <v>63</v>
      </c>
      <c r="H258" s="6" t="s">
        <v>64</v>
      </c>
      <c r="I258" s="8" t="s">
        <v>83</v>
      </c>
      <c r="J258" s="9">
        <v>1</v>
      </c>
      <c r="K258" s="9">
        <v>161</v>
      </c>
      <c r="L258" s="9">
        <v>2021</v>
      </c>
      <c r="M258" s="8" t="s">
        <v>1654</v>
      </c>
      <c r="N258" s="8" t="s">
        <v>41</v>
      </c>
      <c r="O258" s="8" t="s">
        <v>97</v>
      </c>
      <c r="P258" s="6" t="s">
        <v>54</v>
      </c>
      <c r="Q258" s="8" t="s">
        <v>86</v>
      </c>
      <c r="R258" s="10" t="s">
        <v>398</v>
      </c>
      <c r="S258" s="11" t="s">
        <v>1655</v>
      </c>
      <c r="T258" s="6" t="s">
        <v>144</v>
      </c>
      <c r="U258" s="28" t="str">
        <f>HYPERLINK("https://media.infra-m.ru/1831/1831666/cover/1831666.jpg", "Обложка")</f>
        <v>Обложка</v>
      </c>
      <c r="V258" s="28" t="str">
        <f>HYPERLINK("https://znanium.com/catalog/product/1758029", "Ознакомиться")</f>
        <v>Ознакомиться</v>
      </c>
      <c r="W258" s="8" t="s">
        <v>159</v>
      </c>
      <c r="X258" s="6"/>
      <c r="Y258" s="6"/>
      <c r="Z258" s="6"/>
      <c r="AA258" s="6" t="s">
        <v>47</v>
      </c>
    </row>
    <row r="259" spans="1:27" s="4" customFormat="1" ht="51.95" customHeight="1">
      <c r="A259" s="5">
        <v>0</v>
      </c>
      <c r="B259" s="6" t="s">
        <v>1656</v>
      </c>
      <c r="C259" s="7">
        <v>764.9</v>
      </c>
      <c r="D259" s="8" t="s">
        <v>1657</v>
      </c>
      <c r="E259" s="8" t="s">
        <v>1658</v>
      </c>
      <c r="F259" s="8" t="s">
        <v>568</v>
      </c>
      <c r="G259" s="6" t="s">
        <v>63</v>
      </c>
      <c r="H259" s="6" t="s">
        <v>64</v>
      </c>
      <c r="I259" s="8" t="s">
        <v>65</v>
      </c>
      <c r="J259" s="9">
        <v>1</v>
      </c>
      <c r="K259" s="9">
        <v>170</v>
      </c>
      <c r="L259" s="9">
        <v>2023</v>
      </c>
      <c r="M259" s="8" t="s">
        <v>1659</v>
      </c>
      <c r="N259" s="8" t="s">
        <v>41</v>
      </c>
      <c r="O259" s="8" t="s">
        <v>97</v>
      </c>
      <c r="P259" s="6" t="s">
        <v>54</v>
      </c>
      <c r="Q259" s="8" t="s">
        <v>55</v>
      </c>
      <c r="R259" s="10" t="s">
        <v>98</v>
      </c>
      <c r="S259" s="11" t="s">
        <v>1660</v>
      </c>
      <c r="T259" s="6"/>
      <c r="U259" s="28" t="str">
        <f>HYPERLINK("https://media.infra-m.ru/2001/2001632/cover/2001632.jpg", "Обложка")</f>
        <v>Обложка</v>
      </c>
      <c r="V259" s="28" t="str">
        <f>HYPERLINK("https://znanium.com/catalog/product/1854771", "Ознакомиться")</f>
        <v>Ознакомиться</v>
      </c>
      <c r="W259" s="8" t="s">
        <v>571</v>
      </c>
      <c r="X259" s="6"/>
      <c r="Y259" s="6"/>
      <c r="Z259" s="6"/>
      <c r="AA259" s="6" t="s">
        <v>71</v>
      </c>
    </row>
    <row r="260" spans="1:27" s="4" customFormat="1" ht="42" customHeight="1">
      <c r="A260" s="5">
        <v>0</v>
      </c>
      <c r="B260" s="6" t="s">
        <v>1661</v>
      </c>
      <c r="C260" s="13">
        <v>2444</v>
      </c>
      <c r="D260" s="8" t="s">
        <v>1662</v>
      </c>
      <c r="E260" s="8" t="s">
        <v>1663</v>
      </c>
      <c r="F260" s="8" t="s">
        <v>1664</v>
      </c>
      <c r="G260" s="6" t="s">
        <v>95</v>
      </c>
      <c r="H260" s="6" t="s">
        <v>347</v>
      </c>
      <c r="I260" s="8"/>
      <c r="J260" s="9">
        <v>1</v>
      </c>
      <c r="K260" s="9">
        <v>544</v>
      </c>
      <c r="L260" s="9">
        <v>2023</v>
      </c>
      <c r="M260" s="8" t="s">
        <v>1665</v>
      </c>
      <c r="N260" s="8" t="s">
        <v>41</v>
      </c>
      <c r="O260" s="8" t="s">
        <v>97</v>
      </c>
      <c r="P260" s="6" t="s">
        <v>54</v>
      </c>
      <c r="Q260" s="8" t="s">
        <v>44</v>
      </c>
      <c r="R260" s="10" t="s">
        <v>227</v>
      </c>
      <c r="S260" s="11"/>
      <c r="T260" s="6"/>
      <c r="U260" s="28" t="str">
        <f>HYPERLINK("https://media.infra-m.ru/2045/2045818/cover/2045818.jpg", "Обложка")</f>
        <v>Обложка</v>
      </c>
      <c r="V260" s="28" t="str">
        <f>HYPERLINK("https://znanium.com/catalog/product/1010100", "Ознакомиться")</f>
        <v>Ознакомиться</v>
      </c>
      <c r="W260" s="8" t="s">
        <v>1666</v>
      </c>
      <c r="X260" s="6"/>
      <c r="Y260" s="6"/>
      <c r="Z260" s="6"/>
      <c r="AA260" s="6" t="s">
        <v>47</v>
      </c>
    </row>
    <row r="261" spans="1:27" s="4" customFormat="1" ht="42" customHeight="1">
      <c r="A261" s="5">
        <v>0</v>
      </c>
      <c r="B261" s="6" t="s">
        <v>1667</v>
      </c>
      <c r="C261" s="13">
        <v>1710</v>
      </c>
      <c r="D261" s="8" t="s">
        <v>1668</v>
      </c>
      <c r="E261" s="8" t="s">
        <v>1669</v>
      </c>
      <c r="F261" s="8" t="s">
        <v>1670</v>
      </c>
      <c r="G261" s="6" t="s">
        <v>95</v>
      </c>
      <c r="H261" s="6" t="s">
        <v>64</v>
      </c>
      <c r="I261" s="8" t="s">
        <v>39</v>
      </c>
      <c r="J261" s="9">
        <v>1</v>
      </c>
      <c r="K261" s="9">
        <v>380</v>
      </c>
      <c r="L261" s="9">
        <v>2023</v>
      </c>
      <c r="M261" s="8" t="s">
        <v>1671</v>
      </c>
      <c r="N261" s="8" t="s">
        <v>41</v>
      </c>
      <c r="O261" s="8" t="s">
        <v>42</v>
      </c>
      <c r="P261" s="6" t="s">
        <v>43</v>
      </c>
      <c r="Q261" s="8" t="s">
        <v>44</v>
      </c>
      <c r="R261" s="10" t="s">
        <v>1672</v>
      </c>
      <c r="S261" s="11"/>
      <c r="T261" s="6"/>
      <c r="U261" s="28" t="str">
        <f>HYPERLINK("https://media.infra-m.ru/1898/1898398/cover/1898398.jpg", "Обложка")</f>
        <v>Обложка</v>
      </c>
      <c r="V261" s="28" t="str">
        <f>HYPERLINK("https://znanium.com/catalog/product/1898398", "Ознакомиться")</f>
        <v>Ознакомиться</v>
      </c>
      <c r="W261" s="8" t="s">
        <v>1105</v>
      </c>
      <c r="X261" s="6" t="s">
        <v>262</v>
      </c>
      <c r="Y261" s="6"/>
      <c r="Z261" s="6"/>
      <c r="AA261" s="6" t="s">
        <v>112</v>
      </c>
    </row>
    <row r="262" spans="1:27" s="4" customFormat="1" ht="51.95" customHeight="1">
      <c r="A262" s="5">
        <v>0</v>
      </c>
      <c r="B262" s="6" t="s">
        <v>1673</v>
      </c>
      <c r="C262" s="13">
        <v>2500</v>
      </c>
      <c r="D262" s="8" t="s">
        <v>1674</v>
      </c>
      <c r="E262" s="8" t="s">
        <v>1675</v>
      </c>
      <c r="F262" s="8" t="s">
        <v>1676</v>
      </c>
      <c r="G262" s="6" t="s">
        <v>95</v>
      </c>
      <c r="H262" s="6" t="s">
        <v>347</v>
      </c>
      <c r="I262" s="8"/>
      <c r="J262" s="9">
        <v>1</v>
      </c>
      <c r="K262" s="9">
        <v>648</v>
      </c>
      <c r="L262" s="9">
        <v>2023</v>
      </c>
      <c r="M262" s="8" t="s">
        <v>1677</v>
      </c>
      <c r="N262" s="8" t="s">
        <v>41</v>
      </c>
      <c r="O262" s="8" t="s">
        <v>97</v>
      </c>
      <c r="P262" s="6" t="s">
        <v>67</v>
      </c>
      <c r="Q262" s="8" t="s">
        <v>134</v>
      </c>
      <c r="R262" s="10" t="s">
        <v>1678</v>
      </c>
      <c r="S262" s="11"/>
      <c r="T262" s="6"/>
      <c r="U262" s="28" t="str">
        <f>HYPERLINK("https://media.infra-m.ru/1993/1993509/cover/1993509.jpg", "Обложка")</f>
        <v>Обложка</v>
      </c>
      <c r="V262" s="28" t="str">
        <f>HYPERLINK("https://znanium.com/catalog/product/1993509", "Ознакомиться")</f>
        <v>Ознакомиться</v>
      </c>
      <c r="W262" s="8"/>
      <c r="X262" s="6" t="s">
        <v>1127</v>
      </c>
      <c r="Y262" s="6"/>
      <c r="Z262" s="6"/>
      <c r="AA262" s="6" t="s">
        <v>112</v>
      </c>
    </row>
    <row r="263" spans="1:27" s="4" customFormat="1" ht="42" customHeight="1">
      <c r="A263" s="5">
        <v>0</v>
      </c>
      <c r="B263" s="6" t="s">
        <v>1679</v>
      </c>
      <c r="C263" s="7">
        <v>894.9</v>
      </c>
      <c r="D263" s="8" t="s">
        <v>1680</v>
      </c>
      <c r="E263" s="8" t="s">
        <v>1681</v>
      </c>
      <c r="F263" s="8" t="s">
        <v>1682</v>
      </c>
      <c r="G263" s="6" t="s">
        <v>37</v>
      </c>
      <c r="H263" s="6" t="s">
        <v>64</v>
      </c>
      <c r="I263" s="8" t="s">
        <v>1465</v>
      </c>
      <c r="J263" s="9">
        <v>1</v>
      </c>
      <c r="K263" s="9">
        <v>198</v>
      </c>
      <c r="L263" s="9">
        <v>2023</v>
      </c>
      <c r="M263" s="8" t="s">
        <v>1683</v>
      </c>
      <c r="N263" s="8" t="s">
        <v>41</v>
      </c>
      <c r="O263" s="8" t="s">
        <v>97</v>
      </c>
      <c r="P263" s="6" t="s">
        <v>43</v>
      </c>
      <c r="Q263" s="8" t="s">
        <v>44</v>
      </c>
      <c r="R263" s="10" t="s">
        <v>1617</v>
      </c>
      <c r="S263" s="11"/>
      <c r="T263" s="6"/>
      <c r="U263" s="28" t="str">
        <f>HYPERLINK("https://media.infra-m.ru/1965/1965774/cover/1965774.jpg", "Обложка")</f>
        <v>Обложка</v>
      </c>
      <c r="V263" s="28" t="str">
        <f>HYPERLINK("https://znanium.com/catalog/product/1016909", "Ознакомиться")</f>
        <v>Ознакомиться</v>
      </c>
      <c r="W263" s="8" t="s">
        <v>110</v>
      </c>
      <c r="X263" s="6"/>
      <c r="Y263" s="6"/>
      <c r="Z263" s="6"/>
      <c r="AA263" s="6" t="s">
        <v>401</v>
      </c>
    </row>
    <row r="264" spans="1:27" s="4" customFormat="1" ht="51.95" customHeight="1">
      <c r="A264" s="5">
        <v>0</v>
      </c>
      <c r="B264" s="6" t="s">
        <v>1684</v>
      </c>
      <c r="C264" s="7">
        <v>700</v>
      </c>
      <c r="D264" s="8" t="s">
        <v>1685</v>
      </c>
      <c r="E264" s="8" t="s">
        <v>1686</v>
      </c>
      <c r="F264" s="8" t="s">
        <v>1687</v>
      </c>
      <c r="G264" s="6" t="s">
        <v>37</v>
      </c>
      <c r="H264" s="6" t="s">
        <v>38</v>
      </c>
      <c r="I264" s="8"/>
      <c r="J264" s="9">
        <v>1</v>
      </c>
      <c r="K264" s="9">
        <v>200</v>
      </c>
      <c r="L264" s="9">
        <v>2020</v>
      </c>
      <c r="M264" s="8" t="s">
        <v>1688</v>
      </c>
      <c r="N264" s="8" t="s">
        <v>41</v>
      </c>
      <c r="O264" s="8" t="s">
        <v>42</v>
      </c>
      <c r="P264" s="6" t="s">
        <v>1689</v>
      </c>
      <c r="Q264" s="8" t="s">
        <v>44</v>
      </c>
      <c r="R264" s="10" t="s">
        <v>1690</v>
      </c>
      <c r="S264" s="11"/>
      <c r="T264" s="6"/>
      <c r="U264" s="28" t="str">
        <f>HYPERLINK("https://media.infra-m.ru/1080/1080554/cover/1080554.jpg", "Обложка")</f>
        <v>Обложка</v>
      </c>
      <c r="V264" s="28" t="str">
        <f>HYPERLINK("https://znanium.com/catalog/product/917512", "Ознакомиться")</f>
        <v>Ознакомиться</v>
      </c>
      <c r="W264" s="8" t="s">
        <v>179</v>
      </c>
      <c r="X264" s="6"/>
      <c r="Y264" s="6"/>
      <c r="Z264" s="6"/>
      <c r="AA264" s="6" t="s">
        <v>810</v>
      </c>
    </row>
    <row r="265" spans="1:27" s="4" customFormat="1" ht="51.95" customHeight="1">
      <c r="A265" s="5">
        <v>0</v>
      </c>
      <c r="B265" s="6" t="s">
        <v>1691</v>
      </c>
      <c r="C265" s="7">
        <v>290</v>
      </c>
      <c r="D265" s="8" t="s">
        <v>1692</v>
      </c>
      <c r="E265" s="8" t="s">
        <v>1693</v>
      </c>
      <c r="F265" s="8" t="s">
        <v>1687</v>
      </c>
      <c r="G265" s="6" t="s">
        <v>37</v>
      </c>
      <c r="H265" s="6" t="s">
        <v>38</v>
      </c>
      <c r="I265" s="8"/>
      <c r="J265" s="9">
        <v>1</v>
      </c>
      <c r="K265" s="9">
        <v>94</v>
      </c>
      <c r="L265" s="9">
        <v>2018</v>
      </c>
      <c r="M265" s="8" t="s">
        <v>1694</v>
      </c>
      <c r="N265" s="8" t="s">
        <v>41</v>
      </c>
      <c r="O265" s="8" t="s">
        <v>42</v>
      </c>
      <c r="P265" s="6" t="s">
        <v>1689</v>
      </c>
      <c r="Q265" s="8" t="s">
        <v>467</v>
      </c>
      <c r="R265" s="10" t="s">
        <v>1690</v>
      </c>
      <c r="S265" s="11"/>
      <c r="T265" s="6"/>
      <c r="U265" s="28" t="str">
        <f>HYPERLINK("https://media.infra-m.ru/0917/0917512/cover/917512.jpg", "Обложка")</f>
        <v>Обложка</v>
      </c>
      <c r="V265" s="28" t="str">
        <f>HYPERLINK("https://znanium.com/catalog/product/917512", "Ознакомиться")</f>
        <v>Ознакомиться</v>
      </c>
      <c r="W265" s="8" t="s">
        <v>179</v>
      </c>
      <c r="X265" s="6"/>
      <c r="Y265" s="6"/>
      <c r="Z265" s="6"/>
      <c r="AA265" s="6" t="s">
        <v>71</v>
      </c>
    </row>
    <row r="266" spans="1:27" s="4" customFormat="1" ht="42" customHeight="1">
      <c r="A266" s="5">
        <v>0</v>
      </c>
      <c r="B266" s="6" t="s">
        <v>1695</v>
      </c>
      <c r="C266" s="7">
        <v>834</v>
      </c>
      <c r="D266" s="8" t="s">
        <v>1696</v>
      </c>
      <c r="E266" s="8" t="s">
        <v>1697</v>
      </c>
      <c r="F266" s="8" t="s">
        <v>1698</v>
      </c>
      <c r="G266" s="6" t="s">
        <v>63</v>
      </c>
      <c r="H266" s="6" t="s">
        <v>64</v>
      </c>
      <c r="I266" s="8" t="s">
        <v>39</v>
      </c>
      <c r="J266" s="9">
        <v>1</v>
      </c>
      <c r="K266" s="9">
        <v>184</v>
      </c>
      <c r="L266" s="9">
        <v>2023</v>
      </c>
      <c r="M266" s="8" t="s">
        <v>1699</v>
      </c>
      <c r="N266" s="8" t="s">
        <v>41</v>
      </c>
      <c r="O266" s="8" t="s">
        <v>97</v>
      </c>
      <c r="P266" s="6" t="s">
        <v>43</v>
      </c>
      <c r="Q266" s="8" t="s">
        <v>44</v>
      </c>
      <c r="R266" s="10" t="s">
        <v>833</v>
      </c>
      <c r="S266" s="11"/>
      <c r="T266" s="6"/>
      <c r="U266" s="28" t="str">
        <f>HYPERLINK("https://media.infra-m.ru/1993/1993660/cover/1993660.jpg", "Обложка")</f>
        <v>Обложка</v>
      </c>
      <c r="V266" s="28" t="str">
        <f>HYPERLINK("https://znanium.com/catalog/product/1167968", "Ознакомиться")</f>
        <v>Ознакомиться</v>
      </c>
      <c r="W266" s="8" t="s">
        <v>737</v>
      </c>
      <c r="X266" s="6"/>
      <c r="Y266" s="6"/>
      <c r="Z266" s="6"/>
      <c r="AA266" s="6" t="s">
        <v>401</v>
      </c>
    </row>
    <row r="267" spans="1:27" s="4" customFormat="1" ht="42" customHeight="1">
      <c r="A267" s="5">
        <v>0</v>
      </c>
      <c r="B267" s="6" t="s">
        <v>1700</v>
      </c>
      <c r="C267" s="7">
        <v>740</v>
      </c>
      <c r="D267" s="8" t="s">
        <v>1701</v>
      </c>
      <c r="E267" s="8" t="s">
        <v>1702</v>
      </c>
      <c r="F267" s="8" t="s">
        <v>1703</v>
      </c>
      <c r="G267" s="6" t="s">
        <v>37</v>
      </c>
      <c r="H267" s="6" t="s">
        <v>347</v>
      </c>
      <c r="I267" s="8" t="s">
        <v>513</v>
      </c>
      <c r="J267" s="9">
        <v>1</v>
      </c>
      <c r="K267" s="9">
        <v>248</v>
      </c>
      <c r="L267" s="9">
        <v>2019</v>
      </c>
      <c r="M267" s="8" t="s">
        <v>1704</v>
      </c>
      <c r="N267" s="8" t="s">
        <v>41</v>
      </c>
      <c r="O267" s="8" t="s">
        <v>97</v>
      </c>
      <c r="P267" s="6" t="s">
        <v>54</v>
      </c>
      <c r="Q267" s="8" t="s">
        <v>55</v>
      </c>
      <c r="R267" s="10" t="s">
        <v>686</v>
      </c>
      <c r="S267" s="11"/>
      <c r="T267" s="6"/>
      <c r="U267" s="28" t="str">
        <f>HYPERLINK("https://media.infra-m.ru/0989/0989779/cover/989779.jpg", "Обложка")</f>
        <v>Обложка</v>
      </c>
      <c r="V267" s="28" t="str">
        <f>HYPERLINK("https://znanium.com/catalog/product/989779", "Ознакомиться")</f>
        <v>Ознакомиться</v>
      </c>
      <c r="W267" s="8" t="s">
        <v>1198</v>
      </c>
      <c r="X267" s="6"/>
      <c r="Y267" s="6"/>
      <c r="Z267" s="6"/>
      <c r="AA267" s="6" t="s">
        <v>78</v>
      </c>
    </row>
    <row r="268" spans="1:27" s="4" customFormat="1" ht="51.95" customHeight="1">
      <c r="A268" s="5">
        <v>0</v>
      </c>
      <c r="B268" s="6" t="s">
        <v>1705</v>
      </c>
      <c r="C268" s="13">
        <v>1094.9000000000001</v>
      </c>
      <c r="D268" s="8" t="s">
        <v>1706</v>
      </c>
      <c r="E268" s="8" t="s">
        <v>1707</v>
      </c>
      <c r="F268" s="8" t="s">
        <v>1708</v>
      </c>
      <c r="G268" s="6" t="s">
        <v>95</v>
      </c>
      <c r="H268" s="6" t="s">
        <v>329</v>
      </c>
      <c r="I268" s="8" t="s">
        <v>185</v>
      </c>
      <c r="J268" s="9">
        <v>1</v>
      </c>
      <c r="K268" s="9">
        <v>288</v>
      </c>
      <c r="L268" s="9">
        <v>2022</v>
      </c>
      <c r="M268" s="8" t="s">
        <v>1709</v>
      </c>
      <c r="N268" s="8" t="s">
        <v>41</v>
      </c>
      <c r="O268" s="8" t="s">
        <v>97</v>
      </c>
      <c r="P268" s="6" t="s">
        <v>54</v>
      </c>
      <c r="Q268" s="8" t="s">
        <v>86</v>
      </c>
      <c r="R268" s="10" t="s">
        <v>227</v>
      </c>
      <c r="S268" s="11" t="s">
        <v>1710</v>
      </c>
      <c r="T268" s="6"/>
      <c r="U268" s="28" t="str">
        <f>HYPERLINK("https://media.infra-m.ru/1844/1844318/cover/1844318.jpg", "Обложка")</f>
        <v>Обложка</v>
      </c>
      <c r="V268" s="28" t="str">
        <f>HYPERLINK("https://znanium.com/catalog/product/1844318", "Ознакомиться")</f>
        <v>Ознакомиться</v>
      </c>
      <c r="W268" s="8" t="s">
        <v>1711</v>
      </c>
      <c r="X268" s="6"/>
      <c r="Y268" s="6"/>
      <c r="Z268" s="6"/>
      <c r="AA268" s="6" t="s">
        <v>47</v>
      </c>
    </row>
    <row r="269" spans="1:27" s="4" customFormat="1" ht="51.95" customHeight="1">
      <c r="A269" s="5">
        <v>0</v>
      </c>
      <c r="B269" s="6" t="s">
        <v>1712</v>
      </c>
      <c r="C269" s="7">
        <v>850</v>
      </c>
      <c r="D269" s="8" t="s">
        <v>1713</v>
      </c>
      <c r="E269" s="8" t="s">
        <v>1714</v>
      </c>
      <c r="F269" s="8" t="s">
        <v>1715</v>
      </c>
      <c r="G269" s="6" t="s">
        <v>95</v>
      </c>
      <c r="H269" s="6" t="s">
        <v>64</v>
      </c>
      <c r="I269" s="8" t="s">
        <v>83</v>
      </c>
      <c r="J269" s="9">
        <v>1</v>
      </c>
      <c r="K269" s="9">
        <v>221</v>
      </c>
      <c r="L269" s="9">
        <v>2021</v>
      </c>
      <c r="M269" s="8" t="s">
        <v>1716</v>
      </c>
      <c r="N269" s="8" t="s">
        <v>41</v>
      </c>
      <c r="O269" s="8" t="s">
        <v>97</v>
      </c>
      <c r="P269" s="6" t="s">
        <v>54</v>
      </c>
      <c r="Q269" s="8" t="s">
        <v>86</v>
      </c>
      <c r="R269" s="10" t="s">
        <v>373</v>
      </c>
      <c r="S269" s="11" t="s">
        <v>1717</v>
      </c>
      <c r="T269" s="6"/>
      <c r="U269" s="28" t="str">
        <f>HYPERLINK("https://media.infra-m.ru/1137/1137320/cover/1137320.jpg", "Обложка")</f>
        <v>Обложка</v>
      </c>
      <c r="V269" s="28" t="str">
        <f>HYPERLINK("https://znanium.com/catalog/product/1137320", "Ознакомиться")</f>
        <v>Ознакомиться</v>
      </c>
      <c r="W269" s="8" t="s">
        <v>1291</v>
      </c>
      <c r="X269" s="6"/>
      <c r="Y269" s="6"/>
      <c r="Z269" s="6"/>
      <c r="AA269" s="6" t="s">
        <v>58</v>
      </c>
    </row>
    <row r="270" spans="1:27" s="4" customFormat="1" ht="51.95" customHeight="1">
      <c r="A270" s="5">
        <v>0</v>
      </c>
      <c r="B270" s="6" t="s">
        <v>1718</v>
      </c>
      <c r="C270" s="13">
        <v>1480</v>
      </c>
      <c r="D270" s="8" t="s">
        <v>1719</v>
      </c>
      <c r="E270" s="8" t="s">
        <v>1720</v>
      </c>
      <c r="F270" s="8" t="s">
        <v>1721</v>
      </c>
      <c r="G270" s="6" t="s">
        <v>63</v>
      </c>
      <c r="H270" s="6" t="s">
        <v>64</v>
      </c>
      <c r="I270" s="8" t="s">
        <v>858</v>
      </c>
      <c r="J270" s="9">
        <v>1</v>
      </c>
      <c r="K270" s="9">
        <v>321</v>
      </c>
      <c r="L270" s="9">
        <v>2023</v>
      </c>
      <c r="M270" s="8" t="s">
        <v>1722</v>
      </c>
      <c r="N270" s="8" t="s">
        <v>41</v>
      </c>
      <c r="O270" s="8" t="s">
        <v>97</v>
      </c>
      <c r="P270" s="6" t="s">
        <v>54</v>
      </c>
      <c r="Q270" s="8" t="s">
        <v>860</v>
      </c>
      <c r="R270" s="10" t="s">
        <v>1723</v>
      </c>
      <c r="S270" s="11" t="s">
        <v>1724</v>
      </c>
      <c r="T270" s="6"/>
      <c r="U270" s="28" t="str">
        <f>HYPERLINK("https://media.infra-m.ru/2049/2049719/cover/2049719.jpg", "Обложка")</f>
        <v>Обложка</v>
      </c>
      <c r="V270" s="28" t="str">
        <f>HYPERLINK("https://znanium.com/catalog/product/2049719", "Ознакомиться")</f>
        <v>Ознакомиться</v>
      </c>
      <c r="W270" s="8" t="s">
        <v>100</v>
      </c>
      <c r="X270" s="6"/>
      <c r="Y270" s="6"/>
      <c r="Z270" s="6"/>
      <c r="AA270" s="6" t="s">
        <v>58</v>
      </c>
    </row>
    <row r="271" spans="1:27" s="4" customFormat="1" ht="51.95" customHeight="1">
      <c r="A271" s="5">
        <v>0</v>
      </c>
      <c r="B271" s="6" t="s">
        <v>1725</v>
      </c>
      <c r="C271" s="13">
        <v>1650</v>
      </c>
      <c r="D271" s="8" t="s">
        <v>1726</v>
      </c>
      <c r="E271" s="8" t="s">
        <v>1727</v>
      </c>
      <c r="F271" s="8" t="s">
        <v>1728</v>
      </c>
      <c r="G271" s="6" t="s">
        <v>95</v>
      </c>
      <c r="H271" s="6" t="s">
        <v>347</v>
      </c>
      <c r="I271" s="8"/>
      <c r="J271" s="9">
        <v>1</v>
      </c>
      <c r="K271" s="9">
        <v>352</v>
      </c>
      <c r="L271" s="9">
        <v>2024</v>
      </c>
      <c r="M271" s="8" t="s">
        <v>1729</v>
      </c>
      <c r="N271" s="8" t="s">
        <v>41</v>
      </c>
      <c r="O271" s="8" t="s">
        <v>97</v>
      </c>
      <c r="P271" s="6" t="s">
        <v>67</v>
      </c>
      <c r="Q271" s="8" t="s">
        <v>134</v>
      </c>
      <c r="R271" s="10" t="s">
        <v>1730</v>
      </c>
      <c r="S271" s="11"/>
      <c r="T271" s="6"/>
      <c r="U271" s="28" t="str">
        <f>HYPERLINK("https://media.infra-m.ru/2092/2092464/cover/2092464.jpg", "Обложка")</f>
        <v>Обложка</v>
      </c>
      <c r="V271" s="28" t="str">
        <f>HYPERLINK("https://znanium.com/catalog/product/2092464", "Ознакомиться")</f>
        <v>Ознакомиться</v>
      </c>
      <c r="W271" s="8" t="s">
        <v>579</v>
      </c>
      <c r="X271" s="6" t="s">
        <v>316</v>
      </c>
      <c r="Y271" s="6"/>
      <c r="Z271" s="6"/>
      <c r="AA271" s="6" t="s">
        <v>618</v>
      </c>
    </row>
    <row r="272" spans="1:27" s="4" customFormat="1" ht="51.95" customHeight="1">
      <c r="A272" s="5">
        <v>0</v>
      </c>
      <c r="B272" s="6" t="s">
        <v>1731</v>
      </c>
      <c r="C272" s="13">
        <v>2740</v>
      </c>
      <c r="D272" s="8" t="s">
        <v>1732</v>
      </c>
      <c r="E272" s="8" t="s">
        <v>1727</v>
      </c>
      <c r="F272" s="8" t="s">
        <v>1733</v>
      </c>
      <c r="G272" s="6" t="s">
        <v>63</v>
      </c>
      <c r="H272" s="6" t="s">
        <v>64</v>
      </c>
      <c r="I272" s="8" t="s">
        <v>858</v>
      </c>
      <c r="J272" s="9">
        <v>1</v>
      </c>
      <c r="K272" s="9">
        <v>607</v>
      </c>
      <c r="L272" s="9">
        <v>2023</v>
      </c>
      <c r="M272" s="8" t="s">
        <v>1734</v>
      </c>
      <c r="N272" s="8" t="s">
        <v>41</v>
      </c>
      <c r="O272" s="8" t="s">
        <v>97</v>
      </c>
      <c r="P272" s="6" t="s">
        <v>67</v>
      </c>
      <c r="Q272" s="8" t="s">
        <v>860</v>
      </c>
      <c r="R272" s="10" t="s">
        <v>1735</v>
      </c>
      <c r="S272" s="11" t="s">
        <v>1736</v>
      </c>
      <c r="T272" s="6"/>
      <c r="U272" s="28" t="str">
        <f>HYPERLINK("https://media.infra-m.ru/2002/2002578/cover/2002578.jpg", "Обложка")</f>
        <v>Обложка</v>
      </c>
      <c r="V272" s="28" t="str">
        <f>HYPERLINK("https://znanium.com/catalog/product/1226553", "Ознакомиться")</f>
        <v>Ознакомиться</v>
      </c>
      <c r="W272" s="8" t="s">
        <v>100</v>
      </c>
      <c r="X272" s="6"/>
      <c r="Y272" s="6"/>
      <c r="Z272" s="6"/>
      <c r="AA272" s="6" t="s">
        <v>112</v>
      </c>
    </row>
    <row r="273" spans="1:27" s="4" customFormat="1" ht="42" customHeight="1">
      <c r="A273" s="5">
        <v>0</v>
      </c>
      <c r="B273" s="6" t="s">
        <v>1737</v>
      </c>
      <c r="C273" s="7">
        <v>774.9</v>
      </c>
      <c r="D273" s="8" t="s">
        <v>1738</v>
      </c>
      <c r="E273" s="8" t="s">
        <v>1739</v>
      </c>
      <c r="F273" s="8" t="s">
        <v>568</v>
      </c>
      <c r="G273" s="6" t="s">
        <v>37</v>
      </c>
      <c r="H273" s="6" t="s">
        <v>64</v>
      </c>
      <c r="I273" s="8" t="s">
        <v>39</v>
      </c>
      <c r="J273" s="9">
        <v>1</v>
      </c>
      <c r="K273" s="9">
        <v>172</v>
      </c>
      <c r="L273" s="9">
        <v>2023</v>
      </c>
      <c r="M273" s="8" t="s">
        <v>1740</v>
      </c>
      <c r="N273" s="8" t="s">
        <v>41</v>
      </c>
      <c r="O273" s="8" t="s">
        <v>97</v>
      </c>
      <c r="P273" s="6" t="s">
        <v>43</v>
      </c>
      <c r="Q273" s="8" t="s">
        <v>44</v>
      </c>
      <c r="R273" s="10" t="s">
        <v>227</v>
      </c>
      <c r="S273" s="11"/>
      <c r="T273" s="6"/>
      <c r="U273" s="28" t="str">
        <f>HYPERLINK("https://media.infra-m.ru/1965/1965775/cover/1965775.jpg", "Обложка")</f>
        <v>Обложка</v>
      </c>
      <c r="V273" s="28" t="str">
        <f>HYPERLINK("https://znanium.com/catalog/product/1016622", "Ознакомиться")</f>
        <v>Ознакомиться</v>
      </c>
      <c r="W273" s="8" t="s">
        <v>571</v>
      </c>
      <c r="X273" s="6"/>
      <c r="Y273" s="6"/>
      <c r="Z273" s="6"/>
      <c r="AA273" s="6" t="s">
        <v>166</v>
      </c>
    </row>
    <row r="274" spans="1:27" s="4" customFormat="1" ht="51.95" customHeight="1">
      <c r="A274" s="5">
        <v>0</v>
      </c>
      <c r="B274" s="6" t="s">
        <v>1741</v>
      </c>
      <c r="C274" s="13">
        <v>1724.9</v>
      </c>
      <c r="D274" s="8" t="s">
        <v>1742</v>
      </c>
      <c r="E274" s="8" t="s">
        <v>1743</v>
      </c>
      <c r="F274" s="8" t="s">
        <v>1744</v>
      </c>
      <c r="G274" s="6" t="s">
        <v>95</v>
      </c>
      <c r="H274" s="6" t="s">
        <v>64</v>
      </c>
      <c r="I274" s="8" t="s">
        <v>65</v>
      </c>
      <c r="J274" s="9">
        <v>1</v>
      </c>
      <c r="K274" s="9">
        <v>384</v>
      </c>
      <c r="L274" s="9">
        <v>2023</v>
      </c>
      <c r="M274" s="8" t="s">
        <v>1745</v>
      </c>
      <c r="N274" s="8" t="s">
        <v>41</v>
      </c>
      <c r="O274" s="8" t="s">
        <v>97</v>
      </c>
      <c r="P274" s="6" t="s">
        <v>54</v>
      </c>
      <c r="Q274" s="8" t="s">
        <v>55</v>
      </c>
      <c r="R274" s="10" t="s">
        <v>373</v>
      </c>
      <c r="S274" s="11" t="s">
        <v>1746</v>
      </c>
      <c r="T274" s="6"/>
      <c r="U274" s="28" t="str">
        <f>HYPERLINK("https://media.infra-m.ru/1964/1964979/cover/1964979.jpg", "Обложка")</f>
        <v>Обложка</v>
      </c>
      <c r="V274" s="28" t="str">
        <f>HYPERLINK("https://znanium.com/catalog/product/1009590", "Ознакомиться")</f>
        <v>Ознакомиться</v>
      </c>
      <c r="W274" s="8" t="s">
        <v>1747</v>
      </c>
      <c r="X274" s="6"/>
      <c r="Y274" s="6"/>
      <c r="Z274" s="6"/>
      <c r="AA274" s="6" t="s">
        <v>401</v>
      </c>
    </row>
    <row r="275" spans="1:27" s="4" customFormat="1" ht="51.95" customHeight="1">
      <c r="A275" s="5">
        <v>0</v>
      </c>
      <c r="B275" s="6" t="s">
        <v>1748</v>
      </c>
      <c r="C275" s="13">
        <v>1094.9000000000001</v>
      </c>
      <c r="D275" s="8" t="s">
        <v>1749</v>
      </c>
      <c r="E275" s="8" t="s">
        <v>1750</v>
      </c>
      <c r="F275" s="8" t="s">
        <v>1751</v>
      </c>
      <c r="G275" s="6" t="s">
        <v>95</v>
      </c>
      <c r="H275" s="6" t="s">
        <v>64</v>
      </c>
      <c r="I275" s="8" t="s">
        <v>39</v>
      </c>
      <c r="J275" s="9">
        <v>1</v>
      </c>
      <c r="K275" s="9">
        <v>281</v>
      </c>
      <c r="L275" s="9">
        <v>2022</v>
      </c>
      <c r="M275" s="8" t="s">
        <v>1752</v>
      </c>
      <c r="N275" s="8" t="s">
        <v>41</v>
      </c>
      <c r="O275" s="8" t="s">
        <v>85</v>
      </c>
      <c r="P275" s="6" t="s">
        <v>43</v>
      </c>
      <c r="Q275" s="8" t="s">
        <v>44</v>
      </c>
      <c r="R275" s="10" t="s">
        <v>1753</v>
      </c>
      <c r="S275" s="11"/>
      <c r="T275" s="6"/>
      <c r="U275" s="28" t="str">
        <f>HYPERLINK("https://media.infra-m.ru/1853/1853831/cover/1853831.jpg", "Обложка")</f>
        <v>Обложка</v>
      </c>
      <c r="V275" s="28" t="str">
        <f>HYPERLINK("https://znanium.com/catalog/product/1055181", "Ознакомиться")</f>
        <v>Ознакомиться</v>
      </c>
      <c r="W275" s="8" t="s">
        <v>1537</v>
      </c>
      <c r="X275" s="6"/>
      <c r="Y275" s="6"/>
      <c r="Z275" s="6"/>
      <c r="AA275" s="6" t="s">
        <v>610</v>
      </c>
    </row>
    <row r="276" spans="1:27" s="4" customFormat="1" ht="44.1" customHeight="1">
      <c r="A276" s="5">
        <v>0</v>
      </c>
      <c r="B276" s="6" t="s">
        <v>1754</v>
      </c>
      <c r="C276" s="7">
        <v>750</v>
      </c>
      <c r="D276" s="8" t="s">
        <v>1755</v>
      </c>
      <c r="E276" s="8" t="s">
        <v>1756</v>
      </c>
      <c r="F276" s="8" t="s">
        <v>1757</v>
      </c>
      <c r="G276" s="6" t="s">
        <v>37</v>
      </c>
      <c r="H276" s="6" t="s">
        <v>38</v>
      </c>
      <c r="I276" s="8" t="s">
        <v>185</v>
      </c>
      <c r="J276" s="9">
        <v>1</v>
      </c>
      <c r="K276" s="9">
        <v>164</v>
      </c>
      <c r="L276" s="9">
        <v>2024</v>
      </c>
      <c r="M276" s="8" t="s">
        <v>1758</v>
      </c>
      <c r="N276" s="8" t="s">
        <v>41</v>
      </c>
      <c r="O276" s="8" t="s">
        <v>97</v>
      </c>
      <c r="P276" s="6" t="s">
        <v>54</v>
      </c>
      <c r="Q276" s="8" t="s">
        <v>55</v>
      </c>
      <c r="R276" s="10" t="s">
        <v>1759</v>
      </c>
      <c r="S276" s="11"/>
      <c r="T276" s="6" t="s">
        <v>144</v>
      </c>
      <c r="U276" s="28" t="str">
        <f>HYPERLINK("https://media.infra-m.ru/2073/2073493/cover/2073493.jpg", "Обложка")</f>
        <v>Обложка</v>
      </c>
      <c r="V276" s="28" t="str">
        <f>HYPERLINK("https://znanium.com/catalog/product/2073493", "Ознакомиться")</f>
        <v>Ознакомиться</v>
      </c>
      <c r="W276" s="8" t="s">
        <v>110</v>
      </c>
      <c r="X276" s="6"/>
      <c r="Y276" s="6"/>
      <c r="Z276" s="6"/>
      <c r="AA276" s="6" t="s">
        <v>441</v>
      </c>
    </row>
    <row r="277" spans="1:27" s="4" customFormat="1" ht="44.1" customHeight="1">
      <c r="A277" s="5">
        <v>0</v>
      </c>
      <c r="B277" s="6" t="s">
        <v>1760</v>
      </c>
      <c r="C277" s="7">
        <v>494.9</v>
      </c>
      <c r="D277" s="8" t="s">
        <v>1761</v>
      </c>
      <c r="E277" s="8" t="s">
        <v>1762</v>
      </c>
      <c r="F277" s="8" t="s">
        <v>1757</v>
      </c>
      <c r="G277" s="6" t="s">
        <v>37</v>
      </c>
      <c r="H277" s="6" t="s">
        <v>38</v>
      </c>
      <c r="I277" s="8"/>
      <c r="J277" s="9">
        <v>1</v>
      </c>
      <c r="K277" s="9">
        <v>164</v>
      </c>
      <c r="L277" s="9">
        <v>2018</v>
      </c>
      <c r="M277" s="8" t="s">
        <v>1758</v>
      </c>
      <c r="N277" s="8" t="s">
        <v>41</v>
      </c>
      <c r="O277" s="8" t="s">
        <v>97</v>
      </c>
      <c r="P277" s="6" t="s">
        <v>54</v>
      </c>
      <c r="Q277" s="8" t="s">
        <v>55</v>
      </c>
      <c r="R277" s="10" t="s">
        <v>1759</v>
      </c>
      <c r="S277" s="11"/>
      <c r="T277" s="6"/>
      <c r="U277" s="28" t="str">
        <f>HYPERLINK("https://media.infra-m.ru/0958/0958827/cover/958827.jpg", "Обложка")</f>
        <v>Обложка</v>
      </c>
      <c r="V277" s="28" t="str">
        <f>HYPERLINK("https://znanium.com/catalog/product/2073493", "Ознакомиться")</f>
        <v>Ознакомиться</v>
      </c>
      <c r="W277" s="8" t="s">
        <v>110</v>
      </c>
      <c r="X277" s="6"/>
      <c r="Y277" s="6"/>
      <c r="Z277" s="6"/>
      <c r="AA277" s="6" t="s">
        <v>71</v>
      </c>
    </row>
    <row r="278" spans="1:27" s="4" customFormat="1" ht="51.95" customHeight="1">
      <c r="A278" s="5">
        <v>0</v>
      </c>
      <c r="B278" s="6" t="s">
        <v>1763</v>
      </c>
      <c r="C278" s="13">
        <v>2120</v>
      </c>
      <c r="D278" s="8" t="s">
        <v>1764</v>
      </c>
      <c r="E278" s="8" t="s">
        <v>1765</v>
      </c>
      <c r="F278" s="8" t="s">
        <v>1766</v>
      </c>
      <c r="G278" s="6" t="s">
        <v>63</v>
      </c>
      <c r="H278" s="6" t="s">
        <v>64</v>
      </c>
      <c r="I278" s="8" t="s">
        <v>83</v>
      </c>
      <c r="J278" s="9">
        <v>1</v>
      </c>
      <c r="K278" s="9">
        <v>472</v>
      </c>
      <c r="L278" s="9">
        <v>2022</v>
      </c>
      <c r="M278" s="8" t="s">
        <v>1767</v>
      </c>
      <c r="N278" s="8" t="s">
        <v>41</v>
      </c>
      <c r="O278" s="8" t="s">
        <v>85</v>
      </c>
      <c r="P278" s="6" t="s">
        <v>67</v>
      </c>
      <c r="Q278" s="8" t="s">
        <v>86</v>
      </c>
      <c r="R278" s="10" t="s">
        <v>1768</v>
      </c>
      <c r="S278" s="11" t="s">
        <v>1769</v>
      </c>
      <c r="T278" s="6"/>
      <c r="U278" s="28" t="str">
        <f>HYPERLINK("https://media.infra-m.ru/1948/1948217/cover/1948217.jpg", "Обложка")</f>
        <v>Обложка</v>
      </c>
      <c r="V278" s="28" t="str">
        <f>HYPERLINK("https://znanium.com/catalog/product/1846445", "Ознакомиться")</f>
        <v>Ознакомиться</v>
      </c>
      <c r="W278" s="8" t="s">
        <v>110</v>
      </c>
      <c r="X278" s="6"/>
      <c r="Y278" s="6"/>
      <c r="Z278" s="6"/>
      <c r="AA278" s="6" t="s">
        <v>90</v>
      </c>
    </row>
    <row r="279" spans="1:27" s="4" customFormat="1" ht="51.95" customHeight="1">
      <c r="A279" s="5">
        <v>0</v>
      </c>
      <c r="B279" s="6" t="s">
        <v>1770</v>
      </c>
      <c r="C279" s="13">
        <v>1834</v>
      </c>
      <c r="D279" s="8" t="s">
        <v>1771</v>
      </c>
      <c r="E279" s="8" t="s">
        <v>1765</v>
      </c>
      <c r="F279" s="8" t="s">
        <v>1772</v>
      </c>
      <c r="G279" s="6" t="s">
        <v>63</v>
      </c>
      <c r="H279" s="6" t="s">
        <v>64</v>
      </c>
      <c r="I279" s="8" t="s">
        <v>217</v>
      </c>
      <c r="J279" s="9">
        <v>1</v>
      </c>
      <c r="K279" s="9">
        <v>399</v>
      </c>
      <c r="L279" s="9">
        <v>2024</v>
      </c>
      <c r="M279" s="8" t="s">
        <v>1773</v>
      </c>
      <c r="N279" s="8" t="s">
        <v>41</v>
      </c>
      <c r="O279" s="8" t="s">
        <v>85</v>
      </c>
      <c r="P279" s="6" t="s">
        <v>67</v>
      </c>
      <c r="Q279" s="8" t="s">
        <v>86</v>
      </c>
      <c r="R279" s="10" t="s">
        <v>482</v>
      </c>
      <c r="S279" s="11" t="s">
        <v>1774</v>
      </c>
      <c r="T279" s="6"/>
      <c r="U279" s="28" t="str">
        <f>HYPERLINK("https://media.infra-m.ru/2082/2082047/cover/2082047.jpg", "Обложка")</f>
        <v>Обложка</v>
      </c>
      <c r="V279" s="28" t="str">
        <f>HYPERLINK("https://znanium.com/catalog/product/2082009", "Ознакомиться")</f>
        <v>Ознакомиться</v>
      </c>
      <c r="W279" s="8" t="s">
        <v>110</v>
      </c>
      <c r="X279" s="6"/>
      <c r="Y279" s="6"/>
      <c r="Z279" s="6"/>
      <c r="AA279" s="6" t="s">
        <v>401</v>
      </c>
    </row>
    <row r="280" spans="1:27" s="4" customFormat="1" ht="51.95" customHeight="1">
      <c r="A280" s="5">
        <v>0</v>
      </c>
      <c r="B280" s="6" t="s">
        <v>1775</v>
      </c>
      <c r="C280" s="13">
        <v>1254.9000000000001</v>
      </c>
      <c r="D280" s="8" t="s">
        <v>1776</v>
      </c>
      <c r="E280" s="8" t="s">
        <v>1765</v>
      </c>
      <c r="F280" s="8" t="s">
        <v>1777</v>
      </c>
      <c r="G280" s="6" t="s">
        <v>95</v>
      </c>
      <c r="H280" s="6" t="s">
        <v>38</v>
      </c>
      <c r="I280" s="8" t="s">
        <v>83</v>
      </c>
      <c r="J280" s="9">
        <v>1</v>
      </c>
      <c r="K280" s="9">
        <v>369</v>
      </c>
      <c r="L280" s="9">
        <v>2020</v>
      </c>
      <c r="M280" s="8" t="s">
        <v>1778</v>
      </c>
      <c r="N280" s="8" t="s">
        <v>41</v>
      </c>
      <c r="O280" s="8" t="s">
        <v>97</v>
      </c>
      <c r="P280" s="6" t="s">
        <v>54</v>
      </c>
      <c r="Q280" s="8" t="s">
        <v>86</v>
      </c>
      <c r="R280" s="10" t="s">
        <v>1779</v>
      </c>
      <c r="S280" s="11" t="s">
        <v>1780</v>
      </c>
      <c r="T280" s="6"/>
      <c r="U280" s="28" t="str">
        <f>HYPERLINK("https://media.infra-m.ru/1085/1085282/cover/1085282.jpg", "Обложка")</f>
        <v>Обложка</v>
      </c>
      <c r="V280" s="28" t="str">
        <f>HYPERLINK("https://znanium.com/catalog/product/959906", "Ознакомиться")</f>
        <v>Ознакомиться</v>
      </c>
      <c r="W280" s="8"/>
      <c r="X280" s="6"/>
      <c r="Y280" s="6"/>
      <c r="Z280" s="6"/>
      <c r="AA280" s="6" t="s">
        <v>78</v>
      </c>
    </row>
    <row r="281" spans="1:27" s="4" customFormat="1" ht="51.95" customHeight="1">
      <c r="A281" s="5">
        <v>0</v>
      </c>
      <c r="B281" s="6" t="s">
        <v>1781</v>
      </c>
      <c r="C281" s="13">
        <v>1940</v>
      </c>
      <c r="D281" s="8" t="s">
        <v>1782</v>
      </c>
      <c r="E281" s="8" t="s">
        <v>1783</v>
      </c>
      <c r="F281" s="8" t="s">
        <v>1784</v>
      </c>
      <c r="G281" s="6" t="s">
        <v>95</v>
      </c>
      <c r="H281" s="6" t="s">
        <v>64</v>
      </c>
      <c r="I281" s="8" t="s">
        <v>65</v>
      </c>
      <c r="J281" s="9">
        <v>1</v>
      </c>
      <c r="K281" s="9">
        <v>422</v>
      </c>
      <c r="L281" s="9">
        <v>2023</v>
      </c>
      <c r="M281" s="8" t="s">
        <v>1785</v>
      </c>
      <c r="N281" s="8" t="s">
        <v>41</v>
      </c>
      <c r="O281" s="8" t="s">
        <v>85</v>
      </c>
      <c r="P281" s="6" t="s">
        <v>54</v>
      </c>
      <c r="Q281" s="8" t="s">
        <v>55</v>
      </c>
      <c r="R281" s="10" t="s">
        <v>1786</v>
      </c>
      <c r="S281" s="11" t="s">
        <v>1787</v>
      </c>
      <c r="T281" s="6"/>
      <c r="U281" s="28" t="str">
        <f>HYPERLINK("https://media.infra-m.ru/0958/0958799/cover/958799.jpg", "Обложка")</f>
        <v>Обложка</v>
      </c>
      <c r="V281" s="28" t="str">
        <f>HYPERLINK("https://znanium.com/catalog/product/958799", "Ознакомиться")</f>
        <v>Ознакомиться</v>
      </c>
      <c r="W281" s="8" t="s">
        <v>1788</v>
      </c>
      <c r="X281" s="6" t="s">
        <v>546</v>
      </c>
      <c r="Y281" s="6"/>
      <c r="Z281" s="6"/>
      <c r="AA281" s="6" t="s">
        <v>101</v>
      </c>
    </row>
    <row r="282" spans="1:27" s="4" customFormat="1" ht="51.95" customHeight="1">
      <c r="A282" s="5">
        <v>0</v>
      </c>
      <c r="B282" s="6" t="s">
        <v>1789</v>
      </c>
      <c r="C282" s="13">
        <v>1284.9000000000001</v>
      </c>
      <c r="D282" s="8" t="s">
        <v>1790</v>
      </c>
      <c r="E282" s="8" t="s">
        <v>1765</v>
      </c>
      <c r="F282" s="8" t="s">
        <v>1791</v>
      </c>
      <c r="G282" s="6" t="s">
        <v>63</v>
      </c>
      <c r="H282" s="6" t="s">
        <v>64</v>
      </c>
      <c r="I282" s="8" t="s">
        <v>83</v>
      </c>
      <c r="J282" s="9">
        <v>1</v>
      </c>
      <c r="K282" s="9">
        <v>286</v>
      </c>
      <c r="L282" s="9">
        <v>2023</v>
      </c>
      <c r="M282" s="8" t="s">
        <v>1792</v>
      </c>
      <c r="N282" s="8" t="s">
        <v>41</v>
      </c>
      <c r="O282" s="8" t="s">
        <v>85</v>
      </c>
      <c r="P282" s="6" t="s">
        <v>54</v>
      </c>
      <c r="Q282" s="8" t="s">
        <v>86</v>
      </c>
      <c r="R282" s="10" t="s">
        <v>1793</v>
      </c>
      <c r="S282" s="11" t="s">
        <v>1794</v>
      </c>
      <c r="T282" s="6"/>
      <c r="U282" s="28" t="str">
        <f>HYPERLINK("https://media.infra-m.ru/1981/1981586/cover/1981586.jpg", "Обложка")</f>
        <v>Обложка</v>
      </c>
      <c r="V282" s="28" t="str">
        <f>HYPERLINK("https://znanium.com/catalog/product/1003842", "Ознакомиться")</f>
        <v>Ознакомиться</v>
      </c>
      <c r="W282" s="8" t="s">
        <v>1454</v>
      </c>
      <c r="X282" s="6"/>
      <c r="Y282" s="6"/>
      <c r="Z282" s="6"/>
      <c r="AA282" s="6" t="s">
        <v>206</v>
      </c>
    </row>
    <row r="283" spans="1:27" s="4" customFormat="1" ht="51.95" customHeight="1">
      <c r="A283" s="5">
        <v>0</v>
      </c>
      <c r="B283" s="6" t="s">
        <v>1795</v>
      </c>
      <c r="C283" s="13">
        <v>1990</v>
      </c>
      <c r="D283" s="8" t="s">
        <v>1796</v>
      </c>
      <c r="E283" s="8" t="s">
        <v>1797</v>
      </c>
      <c r="F283" s="8" t="s">
        <v>1798</v>
      </c>
      <c r="G283" s="6" t="s">
        <v>95</v>
      </c>
      <c r="H283" s="6" t="s">
        <v>64</v>
      </c>
      <c r="I283" s="8" t="s">
        <v>185</v>
      </c>
      <c r="J283" s="9">
        <v>1</v>
      </c>
      <c r="K283" s="9">
        <v>472</v>
      </c>
      <c r="L283" s="9">
        <v>2024</v>
      </c>
      <c r="M283" s="8" t="s">
        <v>1799</v>
      </c>
      <c r="N283" s="8" t="s">
        <v>41</v>
      </c>
      <c r="O283" s="8" t="s">
        <v>85</v>
      </c>
      <c r="P283" s="6" t="s">
        <v>67</v>
      </c>
      <c r="Q283" s="8" t="s">
        <v>86</v>
      </c>
      <c r="R283" s="10" t="s">
        <v>1800</v>
      </c>
      <c r="S283" s="11" t="s">
        <v>1801</v>
      </c>
      <c r="T283" s="6"/>
      <c r="U283" s="28" t="str">
        <f>HYPERLINK("https://media.infra-m.ru/2073/2073486/cover/2073486.jpg", "Обложка")</f>
        <v>Обложка</v>
      </c>
      <c r="V283" s="28" t="str">
        <f>HYPERLINK("https://znanium.com/catalog/product/2073486", "Ознакомиться")</f>
        <v>Ознакомиться</v>
      </c>
      <c r="W283" s="8" t="s">
        <v>110</v>
      </c>
      <c r="X283" s="6"/>
      <c r="Y283" s="6"/>
      <c r="Z283" s="6"/>
      <c r="AA283" s="6" t="s">
        <v>78</v>
      </c>
    </row>
    <row r="284" spans="1:27" s="4" customFormat="1" ht="44.1" customHeight="1">
      <c r="A284" s="5">
        <v>0</v>
      </c>
      <c r="B284" s="6" t="s">
        <v>1802</v>
      </c>
      <c r="C284" s="7">
        <v>549.9</v>
      </c>
      <c r="D284" s="8" t="s">
        <v>1803</v>
      </c>
      <c r="E284" s="8" t="s">
        <v>1804</v>
      </c>
      <c r="F284" s="8" t="s">
        <v>1805</v>
      </c>
      <c r="G284" s="6" t="s">
        <v>1806</v>
      </c>
      <c r="H284" s="6" t="s">
        <v>52</v>
      </c>
      <c r="I284" s="8"/>
      <c r="J284" s="9">
        <v>12</v>
      </c>
      <c r="K284" s="9">
        <v>320</v>
      </c>
      <c r="L284" s="9">
        <v>2015</v>
      </c>
      <c r="M284" s="8" t="s">
        <v>1807</v>
      </c>
      <c r="N284" s="8" t="s">
        <v>41</v>
      </c>
      <c r="O284" s="8" t="s">
        <v>42</v>
      </c>
      <c r="P284" s="6" t="s">
        <v>43</v>
      </c>
      <c r="Q284" s="8" t="s">
        <v>467</v>
      </c>
      <c r="R284" s="10" t="s">
        <v>178</v>
      </c>
      <c r="S284" s="11"/>
      <c r="T284" s="6"/>
      <c r="U284" s="28" t="str">
        <f>HYPERLINK("https://media.infra-m.ru/0509/0509223/cover/509223.jpg", "Обложка")</f>
        <v>Обложка</v>
      </c>
      <c r="V284" s="28" t="str">
        <f>HYPERLINK("https://znanium.com/catalog/product/405387", "Ознакомиться")</f>
        <v>Ознакомиться</v>
      </c>
      <c r="W284" s="8" t="s">
        <v>1808</v>
      </c>
      <c r="X284" s="6"/>
      <c r="Y284" s="6"/>
      <c r="Z284" s="6"/>
      <c r="AA284" s="6" t="s">
        <v>47</v>
      </c>
    </row>
    <row r="285" spans="1:27" s="4" customFormat="1" ht="51.95" customHeight="1">
      <c r="A285" s="5">
        <v>0</v>
      </c>
      <c r="B285" s="6" t="s">
        <v>1809</v>
      </c>
      <c r="C285" s="13">
        <v>1944.9</v>
      </c>
      <c r="D285" s="8" t="s">
        <v>1810</v>
      </c>
      <c r="E285" s="8" t="s">
        <v>1811</v>
      </c>
      <c r="F285" s="8" t="s">
        <v>1812</v>
      </c>
      <c r="G285" s="6" t="s">
        <v>95</v>
      </c>
      <c r="H285" s="6" t="s">
        <v>347</v>
      </c>
      <c r="I285" s="8"/>
      <c r="J285" s="9">
        <v>1</v>
      </c>
      <c r="K285" s="9">
        <v>512</v>
      </c>
      <c r="L285" s="9">
        <v>2022</v>
      </c>
      <c r="M285" s="8" t="s">
        <v>1813</v>
      </c>
      <c r="N285" s="8" t="s">
        <v>41</v>
      </c>
      <c r="O285" s="8" t="s">
        <v>85</v>
      </c>
      <c r="P285" s="6" t="s">
        <v>67</v>
      </c>
      <c r="Q285" s="8" t="s">
        <v>86</v>
      </c>
      <c r="R285" s="10" t="s">
        <v>827</v>
      </c>
      <c r="S285" s="11" t="s">
        <v>1814</v>
      </c>
      <c r="T285" s="6"/>
      <c r="U285" s="28" t="str">
        <f>HYPERLINK("https://media.infra-m.ru/1843/1843596/cover/1843596.jpg", "Обложка")</f>
        <v>Обложка</v>
      </c>
      <c r="V285" s="28" t="str">
        <f>HYPERLINK("https://znanium.com/catalog/product/1843596", "Ознакомиться")</f>
        <v>Ознакомиться</v>
      </c>
      <c r="W285" s="8" t="s">
        <v>1815</v>
      </c>
      <c r="X285" s="6"/>
      <c r="Y285" s="6"/>
      <c r="Z285" s="6"/>
      <c r="AA285" s="6" t="s">
        <v>251</v>
      </c>
    </row>
    <row r="286" spans="1:27" s="4" customFormat="1" ht="51.95" customHeight="1">
      <c r="A286" s="5">
        <v>0</v>
      </c>
      <c r="B286" s="6" t="s">
        <v>1816</v>
      </c>
      <c r="C286" s="13">
        <v>1494</v>
      </c>
      <c r="D286" s="8" t="s">
        <v>1817</v>
      </c>
      <c r="E286" s="8" t="s">
        <v>1818</v>
      </c>
      <c r="F286" s="8" t="s">
        <v>1819</v>
      </c>
      <c r="G286" s="6" t="s">
        <v>63</v>
      </c>
      <c r="H286" s="6" t="s">
        <v>64</v>
      </c>
      <c r="I286" s="8" t="s">
        <v>83</v>
      </c>
      <c r="J286" s="9">
        <v>1</v>
      </c>
      <c r="K286" s="9">
        <v>332</v>
      </c>
      <c r="L286" s="9">
        <v>2023</v>
      </c>
      <c r="M286" s="8" t="s">
        <v>1820</v>
      </c>
      <c r="N286" s="8" t="s">
        <v>41</v>
      </c>
      <c r="O286" s="8" t="s">
        <v>85</v>
      </c>
      <c r="P286" s="6" t="s">
        <v>54</v>
      </c>
      <c r="Q286" s="8" t="s">
        <v>86</v>
      </c>
      <c r="R286" s="10" t="s">
        <v>1821</v>
      </c>
      <c r="S286" s="11" t="s">
        <v>1822</v>
      </c>
      <c r="T286" s="6"/>
      <c r="U286" s="28" t="str">
        <f>HYPERLINK("https://media.infra-m.ru/2045/2045828/cover/2045828.jpg", "Обложка")</f>
        <v>Обложка</v>
      </c>
      <c r="V286" s="28" t="str">
        <f>HYPERLINK("https://znanium.com/catalog/product/1007033", "Ознакомиться")</f>
        <v>Ознакомиться</v>
      </c>
      <c r="W286" s="8" t="s">
        <v>1823</v>
      </c>
      <c r="X286" s="6"/>
      <c r="Y286" s="6"/>
      <c r="Z286" s="6"/>
      <c r="AA286" s="6" t="s">
        <v>47</v>
      </c>
    </row>
    <row r="287" spans="1:27" s="4" customFormat="1" ht="51.95" customHeight="1">
      <c r="A287" s="5">
        <v>0</v>
      </c>
      <c r="B287" s="6" t="s">
        <v>1824</v>
      </c>
      <c r="C287" s="7">
        <v>880</v>
      </c>
      <c r="D287" s="8" t="s">
        <v>1825</v>
      </c>
      <c r="E287" s="8" t="s">
        <v>1826</v>
      </c>
      <c r="F287" s="8" t="s">
        <v>1827</v>
      </c>
      <c r="G287" s="6" t="s">
        <v>37</v>
      </c>
      <c r="H287" s="6" t="s">
        <v>64</v>
      </c>
      <c r="I287" s="8" t="s">
        <v>65</v>
      </c>
      <c r="J287" s="9">
        <v>1</v>
      </c>
      <c r="K287" s="9">
        <v>196</v>
      </c>
      <c r="L287" s="9">
        <v>2023</v>
      </c>
      <c r="M287" s="8" t="s">
        <v>1828</v>
      </c>
      <c r="N287" s="8" t="s">
        <v>41</v>
      </c>
      <c r="O287" s="8" t="s">
        <v>97</v>
      </c>
      <c r="P287" s="6" t="s">
        <v>54</v>
      </c>
      <c r="Q287" s="8" t="s">
        <v>55</v>
      </c>
      <c r="R287" s="10" t="s">
        <v>1829</v>
      </c>
      <c r="S287" s="11" t="s">
        <v>1830</v>
      </c>
      <c r="T287" s="6"/>
      <c r="U287" s="28" t="str">
        <f>HYPERLINK("https://media.infra-m.ru/1920/1920336/cover/1920336.jpg", "Обложка")</f>
        <v>Обложка</v>
      </c>
      <c r="V287" s="28" t="str">
        <f>HYPERLINK("https://znanium.com/catalog/product/1920336", "Ознакомиться")</f>
        <v>Ознакомиться</v>
      </c>
      <c r="W287" s="8" t="s">
        <v>1537</v>
      </c>
      <c r="X287" s="6"/>
      <c r="Y287" s="6"/>
      <c r="Z287" s="6"/>
      <c r="AA287" s="6" t="s">
        <v>317</v>
      </c>
    </row>
    <row r="288" spans="1:27" s="4" customFormat="1" ht="51.95" customHeight="1">
      <c r="A288" s="5">
        <v>0</v>
      </c>
      <c r="B288" s="6" t="s">
        <v>1831</v>
      </c>
      <c r="C288" s="13">
        <v>1430</v>
      </c>
      <c r="D288" s="8" t="s">
        <v>1832</v>
      </c>
      <c r="E288" s="8" t="s">
        <v>1833</v>
      </c>
      <c r="F288" s="8" t="s">
        <v>1834</v>
      </c>
      <c r="G288" s="6" t="s">
        <v>63</v>
      </c>
      <c r="H288" s="6" t="s">
        <v>38</v>
      </c>
      <c r="I288" s="8" t="s">
        <v>1835</v>
      </c>
      <c r="J288" s="9">
        <v>1</v>
      </c>
      <c r="K288" s="9">
        <v>318</v>
      </c>
      <c r="L288" s="9">
        <v>2023</v>
      </c>
      <c r="M288" s="8" t="s">
        <v>1836</v>
      </c>
      <c r="N288" s="8" t="s">
        <v>41</v>
      </c>
      <c r="O288" s="8" t="s">
        <v>97</v>
      </c>
      <c r="P288" s="6" t="s">
        <v>1837</v>
      </c>
      <c r="Q288" s="8" t="s">
        <v>44</v>
      </c>
      <c r="R288" s="10" t="s">
        <v>1838</v>
      </c>
      <c r="S288" s="11"/>
      <c r="T288" s="6"/>
      <c r="U288" s="28" t="str">
        <f>HYPERLINK("https://media.infra-m.ru/1876/1876805/cover/1876805.jpg", "Обложка")</f>
        <v>Обложка</v>
      </c>
      <c r="V288" s="28" t="str">
        <f>HYPERLINK("https://znanium.com/catalog/product/1876805", "Ознакомиться")</f>
        <v>Ознакомиться</v>
      </c>
      <c r="W288" s="8"/>
      <c r="X288" s="6"/>
      <c r="Y288" s="6"/>
      <c r="Z288" s="6"/>
      <c r="AA288" s="6" t="s">
        <v>127</v>
      </c>
    </row>
    <row r="289" spans="1:27" s="4" customFormat="1" ht="51.95" customHeight="1">
      <c r="A289" s="5">
        <v>0</v>
      </c>
      <c r="B289" s="6" t="s">
        <v>1839</v>
      </c>
      <c r="C289" s="13">
        <v>1094.9000000000001</v>
      </c>
      <c r="D289" s="8" t="s">
        <v>1840</v>
      </c>
      <c r="E289" s="8" t="s">
        <v>1841</v>
      </c>
      <c r="F289" s="8" t="s">
        <v>542</v>
      </c>
      <c r="G289" s="6" t="s">
        <v>95</v>
      </c>
      <c r="H289" s="6" t="s">
        <v>125</v>
      </c>
      <c r="I289" s="8"/>
      <c r="J289" s="9">
        <v>1</v>
      </c>
      <c r="K289" s="9">
        <v>287</v>
      </c>
      <c r="L289" s="9">
        <v>2022</v>
      </c>
      <c r="M289" s="8" t="s">
        <v>1842</v>
      </c>
      <c r="N289" s="8" t="s">
        <v>41</v>
      </c>
      <c r="O289" s="8" t="s">
        <v>97</v>
      </c>
      <c r="P289" s="6" t="s">
        <v>54</v>
      </c>
      <c r="Q289" s="8" t="s">
        <v>86</v>
      </c>
      <c r="R289" s="10" t="s">
        <v>555</v>
      </c>
      <c r="S289" s="11" t="s">
        <v>1843</v>
      </c>
      <c r="T289" s="6"/>
      <c r="U289" s="28" t="str">
        <f>HYPERLINK("https://media.infra-m.ru/1853/1853928/cover/1853928.jpg", "Обложка")</f>
        <v>Обложка</v>
      </c>
      <c r="V289" s="28" t="str">
        <f>HYPERLINK("https://znanium.com/catalog/product/1000116", "Ознакомиться")</f>
        <v>Ознакомиться</v>
      </c>
      <c r="W289" s="8" t="s">
        <v>545</v>
      </c>
      <c r="X289" s="6"/>
      <c r="Y289" s="6"/>
      <c r="Z289" s="6"/>
      <c r="AA289" s="6" t="s">
        <v>78</v>
      </c>
    </row>
    <row r="290" spans="1:27" s="4" customFormat="1" ht="42" customHeight="1">
      <c r="A290" s="5">
        <v>0</v>
      </c>
      <c r="B290" s="6" t="s">
        <v>1844</v>
      </c>
      <c r="C290" s="13">
        <v>1054</v>
      </c>
      <c r="D290" s="8" t="s">
        <v>1845</v>
      </c>
      <c r="E290" s="8" t="s">
        <v>1846</v>
      </c>
      <c r="F290" s="8" t="s">
        <v>549</v>
      </c>
      <c r="G290" s="6" t="s">
        <v>37</v>
      </c>
      <c r="H290" s="6" t="s">
        <v>125</v>
      </c>
      <c r="I290" s="8"/>
      <c r="J290" s="9">
        <v>1</v>
      </c>
      <c r="K290" s="9">
        <v>228</v>
      </c>
      <c r="L290" s="9">
        <v>2024</v>
      </c>
      <c r="M290" s="8" t="s">
        <v>1847</v>
      </c>
      <c r="N290" s="8" t="s">
        <v>41</v>
      </c>
      <c r="O290" s="8" t="s">
        <v>97</v>
      </c>
      <c r="P290" s="6" t="s">
        <v>54</v>
      </c>
      <c r="Q290" s="8" t="s">
        <v>86</v>
      </c>
      <c r="R290" s="10" t="s">
        <v>227</v>
      </c>
      <c r="S290" s="11"/>
      <c r="T290" s="6"/>
      <c r="U290" s="28" t="str">
        <f>HYPERLINK("https://media.infra-m.ru/2053/2053253/cover/2053253.jpg", "Обложка")</f>
        <v>Обложка</v>
      </c>
      <c r="V290" s="28" t="str">
        <f>HYPERLINK("https://znanium.com/catalog/product/1836580", "Ознакомиться")</f>
        <v>Ознакомиться</v>
      </c>
      <c r="W290" s="8" t="s">
        <v>545</v>
      </c>
      <c r="X290" s="6"/>
      <c r="Y290" s="6"/>
      <c r="Z290" s="6"/>
      <c r="AA290" s="6" t="s">
        <v>981</v>
      </c>
    </row>
    <row r="291" spans="1:27" s="4" customFormat="1" ht="51.95" customHeight="1">
      <c r="A291" s="5">
        <v>0</v>
      </c>
      <c r="B291" s="6" t="s">
        <v>1848</v>
      </c>
      <c r="C291" s="7">
        <v>640</v>
      </c>
      <c r="D291" s="8" t="s">
        <v>1849</v>
      </c>
      <c r="E291" s="8" t="s">
        <v>1850</v>
      </c>
      <c r="F291" s="8" t="s">
        <v>1851</v>
      </c>
      <c r="G291" s="6" t="s">
        <v>37</v>
      </c>
      <c r="H291" s="6" t="s">
        <v>64</v>
      </c>
      <c r="I291" s="8" t="s">
        <v>39</v>
      </c>
      <c r="J291" s="9">
        <v>1</v>
      </c>
      <c r="K291" s="9">
        <v>172</v>
      </c>
      <c r="L291" s="9">
        <v>2021</v>
      </c>
      <c r="M291" s="8" t="s">
        <v>1852</v>
      </c>
      <c r="N291" s="8" t="s">
        <v>41</v>
      </c>
      <c r="O291" s="8" t="s">
        <v>85</v>
      </c>
      <c r="P291" s="6" t="s">
        <v>43</v>
      </c>
      <c r="Q291" s="8" t="s">
        <v>44</v>
      </c>
      <c r="R291" s="10" t="s">
        <v>1853</v>
      </c>
      <c r="S291" s="11"/>
      <c r="T291" s="6"/>
      <c r="U291" s="28" t="str">
        <f>HYPERLINK("https://media.infra-m.ru/1223/1223199/cover/1223199.jpg", "Обложка")</f>
        <v>Обложка</v>
      </c>
      <c r="V291" s="28" t="str">
        <f>HYPERLINK("https://znanium.com/catalog/product/1223199", "Ознакомиться")</f>
        <v>Ознакомиться</v>
      </c>
      <c r="W291" s="8" t="s">
        <v>1157</v>
      </c>
      <c r="X291" s="6"/>
      <c r="Y291" s="6"/>
      <c r="Z291" s="6"/>
      <c r="AA291" s="6" t="s">
        <v>610</v>
      </c>
    </row>
    <row r="292" spans="1:27" s="4" customFormat="1" ht="51.95" customHeight="1">
      <c r="A292" s="5">
        <v>0</v>
      </c>
      <c r="B292" s="6" t="s">
        <v>1854</v>
      </c>
      <c r="C292" s="7">
        <v>990</v>
      </c>
      <c r="D292" s="8" t="s">
        <v>1855</v>
      </c>
      <c r="E292" s="8" t="s">
        <v>1856</v>
      </c>
      <c r="F292" s="8" t="s">
        <v>1857</v>
      </c>
      <c r="G292" s="6" t="s">
        <v>63</v>
      </c>
      <c r="H292" s="6" t="s">
        <v>64</v>
      </c>
      <c r="I292" s="8" t="s">
        <v>132</v>
      </c>
      <c r="J292" s="9">
        <v>1</v>
      </c>
      <c r="K292" s="9">
        <v>212</v>
      </c>
      <c r="L292" s="9">
        <v>2023</v>
      </c>
      <c r="M292" s="8" t="s">
        <v>1858</v>
      </c>
      <c r="N292" s="8" t="s">
        <v>1859</v>
      </c>
      <c r="O292" s="8" t="s">
        <v>1860</v>
      </c>
      <c r="P292" s="6" t="s">
        <v>54</v>
      </c>
      <c r="Q292" s="8" t="s">
        <v>86</v>
      </c>
      <c r="R292" s="10" t="s">
        <v>373</v>
      </c>
      <c r="S292" s="11" t="s">
        <v>1861</v>
      </c>
      <c r="T292" s="6"/>
      <c r="U292" s="28" t="str">
        <f>HYPERLINK("https://media.infra-m.ru/2049/2049703/cover/2049703.jpg", "Обложка")</f>
        <v>Обложка</v>
      </c>
      <c r="V292" s="28" t="str">
        <f>HYPERLINK("https://znanium.com/catalog/product/2049703", "Ознакомиться")</f>
        <v>Ознакомиться</v>
      </c>
      <c r="W292" s="8" t="s">
        <v>110</v>
      </c>
      <c r="X292" s="6"/>
      <c r="Y292" s="6"/>
      <c r="Z292" s="6"/>
      <c r="AA292" s="6" t="s">
        <v>58</v>
      </c>
    </row>
    <row r="293" spans="1:27" s="4" customFormat="1" ht="51.95" customHeight="1">
      <c r="A293" s="5">
        <v>0</v>
      </c>
      <c r="B293" s="6" t="s">
        <v>1862</v>
      </c>
      <c r="C293" s="7">
        <v>854.9</v>
      </c>
      <c r="D293" s="8" t="s">
        <v>1863</v>
      </c>
      <c r="E293" s="8" t="s">
        <v>1864</v>
      </c>
      <c r="F293" s="8" t="s">
        <v>1865</v>
      </c>
      <c r="G293" s="6" t="s">
        <v>63</v>
      </c>
      <c r="H293" s="6" t="s">
        <v>64</v>
      </c>
      <c r="I293" s="8" t="s">
        <v>83</v>
      </c>
      <c r="J293" s="9">
        <v>1</v>
      </c>
      <c r="K293" s="9">
        <v>190</v>
      </c>
      <c r="L293" s="9">
        <v>2023</v>
      </c>
      <c r="M293" s="8" t="s">
        <v>1866</v>
      </c>
      <c r="N293" s="8" t="s">
        <v>41</v>
      </c>
      <c r="O293" s="8" t="s">
        <v>97</v>
      </c>
      <c r="P293" s="6" t="s">
        <v>67</v>
      </c>
      <c r="Q293" s="8" t="s">
        <v>86</v>
      </c>
      <c r="R293" s="10" t="s">
        <v>1867</v>
      </c>
      <c r="S293" s="11" t="s">
        <v>1868</v>
      </c>
      <c r="T293" s="6"/>
      <c r="U293" s="28" t="str">
        <f>HYPERLINK("https://media.infra-m.ru/1897/1897692/cover/1897692.jpg", "Обложка")</f>
        <v>Обложка</v>
      </c>
      <c r="V293" s="28" t="str">
        <f>HYPERLINK("https://znanium.com/catalog/product/1897692", "Ознакомиться")</f>
        <v>Ознакомиться</v>
      </c>
      <c r="W293" s="8" t="s">
        <v>1869</v>
      </c>
      <c r="X293" s="6"/>
      <c r="Y293" s="6"/>
      <c r="Z293" s="6"/>
      <c r="AA293" s="6" t="s">
        <v>166</v>
      </c>
    </row>
    <row r="294" spans="1:27" s="4" customFormat="1" ht="42" customHeight="1">
      <c r="A294" s="5">
        <v>0</v>
      </c>
      <c r="B294" s="6" t="s">
        <v>1870</v>
      </c>
      <c r="C294" s="7">
        <v>330</v>
      </c>
      <c r="D294" s="8" t="s">
        <v>1871</v>
      </c>
      <c r="E294" s="8" t="s">
        <v>1872</v>
      </c>
      <c r="F294" s="8" t="s">
        <v>1757</v>
      </c>
      <c r="G294" s="6" t="s">
        <v>37</v>
      </c>
      <c r="H294" s="6" t="s">
        <v>38</v>
      </c>
      <c r="I294" s="8" t="s">
        <v>330</v>
      </c>
      <c r="J294" s="9">
        <v>1</v>
      </c>
      <c r="K294" s="9">
        <v>96</v>
      </c>
      <c r="L294" s="9">
        <v>2019</v>
      </c>
      <c r="M294" s="8" t="s">
        <v>1873</v>
      </c>
      <c r="N294" s="8" t="s">
        <v>41</v>
      </c>
      <c r="O294" s="8" t="s">
        <v>97</v>
      </c>
      <c r="P294" s="6" t="s">
        <v>54</v>
      </c>
      <c r="Q294" s="8" t="s">
        <v>86</v>
      </c>
      <c r="R294" s="10" t="s">
        <v>98</v>
      </c>
      <c r="S294" s="11"/>
      <c r="T294" s="6" t="s">
        <v>144</v>
      </c>
      <c r="U294" s="28" t="str">
        <f>HYPERLINK("https://media.infra-m.ru/1020/1020208/cover/1020208.jpg", "Обложка")</f>
        <v>Обложка</v>
      </c>
      <c r="V294" s="28" t="str">
        <f>HYPERLINK("https://znanium.com/catalog/product/1020208", "Ознакомиться")</f>
        <v>Ознакомиться</v>
      </c>
      <c r="W294" s="8" t="s">
        <v>110</v>
      </c>
      <c r="X294" s="6"/>
      <c r="Y294" s="6"/>
      <c r="Z294" s="6"/>
      <c r="AA294" s="6" t="s">
        <v>206</v>
      </c>
    </row>
    <row r="295" spans="1:27" s="4" customFormat="1" ht="51.95" customHeight="1">
      <c r="A295" s="5">
        <v>0</v>
      </c>
      <c r="B295" s="6" t="s">
        <v>1874</v>
      </c>
      <c r="C295" s="7">
        <v>520</v>
      </c>
      <c r="D295" s="8" t="s">
        <v>1875</v>
      </c>
      <c r="E295" s="8" t="s">
        <v>1876</v>
      </c>
      <c r="F295" s="8" t="s">
        <v>1877</v>
      </c>
      <c r="G295" s="6" t="s">
        <v>37</v>
      </c>
      <c r="H295" s="6" t="s">
        <v>52</v>
      </c>
      <c r="I295" s="8"/>
      <c r="J295" s="9">
        <v>1</v>
      </c>
      <c r="K295" s="9">
        <v>128</v>
      </c>
      <c r="L295" s="9">
        <v>2022</v>
      </c>
      <c r="M295" s="8" t="s">
        <v>1878</v>
      </c>
      <c r="N295" s="8" t="s">
        <v>41</v>
      </c>
      <c r="O295" s="8" t="s">
        <v>42</v>
      </c>
      <c r="P295" s="6" t="s">
        <v>54</v>
      </c>
      <c r="Q295" s="8" t="s">
        <v>55</v>
      </c>
      <c r="R295" s="10" t="s">
        <v>1879</v>
      </c>
      <c r="S295" s="11"/>
      <c r="T295" s="6"/>
      <c r="U295" s="28" t="str">
        <f>HYPERLINK("https://media.infra-m.ru/1864/1864191/cover/1864191.jpg", "Обложка")</f>
        <v>Обложка</v>
      </c>
      <c r="V295" s="28" t="str">
        <f>HYPERLINK("https://znanium.com/catalog/product/1864191", "Ознакомиться")</f>
        <v>Ознакомиться</v>
      </c>
      <c r="W295" s="8" t="s">
        <v>57</v>
      </c>
      <c r="X295" s="6"/>
      <c r="Y295" s="6"/>
      <c r="Z295" s="6"/>
      <c r="AA295" s="6" t="s">
        <v>71</v>
      </c>
    </row>
    <row r="296" spans="1:27" s="4" customFormat="1" ht="51.95" customHeight="1">
      <c r="A296" s="5">
        <v>0</v>
      </c>
      <c r="B296" s="6" t="s">
        <v>1880</v>
      </c>
      <c r="C296" s="13">
        <v>1334.9</v>
      </c>
      <c r="D296" s="8" t="s">
        <v>1881</v>
      </c>
      <c r="E296" s="8" t="s">
        <v>1882</v>
      </c>
      <c r="F296" s="8" t="s">
        <v>1883</v>
      </c>
      <c r="G296" s="6" t="s">
        <v>63</v>
      </c>
      <c r="H296" s="6" t="s">
        <v>64</v>
      </c>
      <c r="I296" s="8" t="s">
        <v>1884</v>
      </c>
      <c r="J296" s="9">
        <v>1</v>
      </c>
      <c r="K296" s="9">
        <v>351</v>
      </c>
      <c r="L296" s="9">
        <v>2022</v>
      </c>
      <c r="M296" s="8" t="s">
        <v>1885</v>
      </c>
      <c r="N296" s="8" t="s">
        <v>41</v>
      </c>
      <c r="O296" s="8" t="s">
        <v>97</v>
      </c>
      <c r="P296" s="6" t="s">
        <v>67</v>
      </c>
      <c r="Q296" s="8" t="s">
        <v>55</v>
      </c>
      <c r="R296" s="10" t="s">
        <v>1886</v>
      </c>
      <c r="S296" s="11" t="s">
        <v>1887</v>
      </c>
      <c r="T296" s="6"/>
      <c r="U296" s="28" t="str">
        <f>HYPERLINK("https://media.infra-m.ru/1832/1832128/cover/1832128.jpg", "Обложка")</f>
        <v>Обложка</v>
      </c>
      <c r="V296" s="28" t="str">
        <f>HYPERLINK("https://znanium.com/catalog/product/1832128", "Ознакомиться")</f>
        <v>Ознакомиться</v>
      </c>
      <c r="W296" s="8" t="s">
        <v>1335</v>
      </c>
      <c r="X296" s="6"/>
      <c r="Y296" s="6"/>
      <c r="Z296" s="6"/>
      <c r="AA296" s="6" t="s">
        <v>846</v>
      </c>
    </row>
    <row r="297" spans="1:27" s="4" customFormat="1" ht="51.95" customHeight="1">
      <c r="A297" s="5">
        <v>0</v>
      </c>
      <c r="B297" s="6" t="s">
        <v>1888</v>
      </c>
      <c r="C297" s="13">
        <v>1974.9</v>
      </c>
      <c r="D297" s="8" t="s">
        <v>1889</v>
      </c>
      <c r="E297" s="8" t="s">
        <v>1890</v>
      </c>
      <c r="F297" s="8" t="s">
        <v>1891</v>
      </c>
      <c r="G297" s="6" t="s">
        <v>95</v>
      </c>
      <c r="H297" s="6" t="s">
        <v>347</v>
      </c>
      <c r="I297" s="8"/>
      <c r="J297" s="9">
        <v>1</v>
      </c>
      <c r="K297" s="9">
        <v>704</v>
      </c>
      <c r="L297" s="9">
        <v>2022</v>
      </c>
      <c r="M297" s="8" t="s">
        <v>1892</v>
      </c>
      <c r="N297" s="8" t="s">
        <v>41</v>
      </c>
      <c r="O297" s="8" t="s">
        <v>97</v>
      </c>
      <c r="P297" s="6" t="s">
        <v>67</v>
      </c>
      <c r="Q297" s="8" t="s">
        <v>86</v>
      </c>
      <c r="R297" s="10" t="s">
        <v>227</v>
      </c>
      <c r="S297" s="11" t="s">
        <v>1893</v>
      </c>
      <c r="T297" s="6"/>
      <c r="U297" s="28" t="str">
        <f>HYPERLINK("https://media.infra-m.ru/1840/1840486/cover/1840486.jpg", "Обложка")</f>
        <v>Обложка</v>
      </c>
      <c r="V297" s="28" t="str">
        <f>HYPERLINK("https://znanium.com/catalog/product/1840486", "Ознакомиться")</f>
        <v>Ознакомиться</v>
      </c>
      <c r="W297" s="8" t="s">
        <v>269</v>
      </c>
      <c r="X297" s="6"/>
      <c r="Y297" s="6"/>
      <c r="Z297" s="6"/>
      <c r="AA297" s="6" t="s">
        <v>1894</v>
      </c>
    </row>
    <row r="298" spans="1:27" s="4" customFormat="1" ht="42" customHeight="1">
      <c r="A298" s="5">
        <v>0</v>
      </c>
      <c r="B298" s="6" t="s">
        <v>1895</v>
      </c>
      <c r="C298" s="7">
        <v>760</v>
      </c>
      <c r="D298" s="8" t="s">
        <v>1896</v>
      </c>
      <c r="E298" s="8" t="s">
        <v>1897</v>
      </c>
      <c r="F298" s="8" t="s">
        <v>1865</v>
      </c>
      <c r="G298" s="6" t="s">
        <v>63</v>
      </c>
      <c r="H298" s="6" t="s">
        <v>64</v>
      </c>
      <c r="I298" s="8" t="s">
        <v>39</v>
      </c>
      <c r="J298" s="9">
        <v>1</v>
      </c>
      <c r="K298" s="9">
        <v>169</v>
      </c>
      <c r="L298" s="9">
        <v>2023</v>
      </c>
      <c r="M298" s="8" t="s">
        <v>1898</v>
      </c>
      <c r="N298" s="8" t="s">
        <v>41</v>
      </c>
      <c r="O298" s="8" t="s">
        <v>97</v>
      </c>
      <c r="P298" s="6" t="s">
        <v>43</v>
      </c>
      <c r="Q298" s="8" t="s">
        <v>44</v>
      </c>
      <c r="R298" s="10" t="s">
        <v>98</v>
      </c>
      <c r="S298" s="11"/>
      <c r="T298" s="6"/>
      <c r="U298" s="28" t="str">
        <f>HYPERLINK("https://media.infra-m.ru/1898/1898977/cover/1898977.jpg", "Обложка")</f>
        <v>Обложка</v>
      </c>
      <c r="V298" s="28" t="str">
        <f>HYPERLINK("https://znanium.com/catalog/product/1898977", "Ознакомиться")</f>
        <v>Ознакомиться</v>
      </c>
      <c r="W298" s="8" t="s">
        <v>1869</v>
      </c>
      <c r="X298" s="6"/>
      <c r="Y298" s="6"/>
      <c r="Z298" s="6"/>
      <c r="AA298" s="6" t="s">
        <v>71</v>
      </c>
    </row>
    <row r="299" spans="1:27" s="4" customFormat="1" ht="51.95" customHeight="1">
      <c r="A299" s="5">
        <v>0</v>
      </c>
      <c r="B299" s="6" t="s">
        <v>1899</v>
      </c>
      <c r="C299" s="7">
        <v>744.9</v>
      </c>
      <c r="D299" s="8" t="s">
        <v>1900</v>
      </c>
      <c r="E299" s="8" t="s">
        <v>1901</v>
      </c>
      <c r="F299" s="8" t="s">
        <v>1902</v>
      </c>
      <c r="G299" s="6" t="s">
        <v>95</v>
      </c>
      <c r="H299" s="6" t="s">
        <v>52</v>
      </c>
      <c r="I299" s="8"/>
      <c r="J299" s="9">
        <v>1</v>
      </c>
      <c r="K299" s="9">
        <v>208</v>
      </c>
      <c r="L299" s="9">
        <v>2021</v>
      </c>
      <c r="M299" s="8" t="s">
        <v>1903</v>
      </c>
      <c r="N299" s="8" t="s">
        <v>41</v>
      </c>
      <c r="O299" s="8" t="s">
        <v>42</v>
      </c>
      <c r="P299" s="6" t="s">
        <v>54</v>
      </c>
      <c r="Q299" s="8" t="s">
        <v>55</v>
      </c>
      <c r="R299" s="10" t="s">
        <v>1904</v>
      </c>
      <c r="S299" s="11"/>
      <c r="T299" s="6"/>
      <c r="U299" s="28" t="str">
        <f>HYPERLINK("https://media.infra-m.ru/1324/1324179/cover/1324179.jpg", "Обложка")</f>
        <v>Обложка</v>
      </c>
      <c r="V299" s="28" t="str">
        <f>HYPERLINK("https://znanium.com/catalog/product/1324179", "Ознакомиться")</f>
        <v>Ознакомиться</v>
      </c>
      <c r="W299" s="8" t="s">
        <v>57</v>
      </c>
      <c r="X299" s="6"/>
      <c r="Y299" s="6"/>
      <c r="Z299" s="6"/>
      <c r="AA299" s="6" t="s">
        <v>206</v>
      </c>
    </row>
    <row r="300" spans="1:27" s="4" customFormat="1" ht="51.95" customHeight="1">
      <c r="A300" s="5">
        <v>0</v>
      </c>
      <c r="B300" s="6" t="s">
        <v>1905</v>
      </c>
      <c r="C300" s="7">
        <v>880</v>
      </c>
      <c r="D300" s="8" t="s">
        <v>1906</v>
      </c>
      <c r="E300" s="8" t="s">
        <v>1907</v>
      </c>
      <c r="F300" s="8" t="s">
        <v>1908</v>
      </c>
      <c r="G300" s="6" t="s">
        <v>63</v>
      </c>
      <c r="H300" s="6" t="s">
        <v>125</v>
      </c>
      <c r="I300" s="8"/>
      <c r="J300" s="9">
        <v>1</v>
      </c>
      <c r="K300" s="9">
        <v>215</v>
      </c>
      <c r="L300" s="9">
        <v>2022</v>
      </c>
      <c r="M300" s="8" t="s">
        <v>1909</v>
      </c>
      <c r="N300" s="8" t="s">
        <v>41</v>
      </c>
      <c r="O300" s="8" t="s">
        <v>97</v>
      </c>
      <c r="P300" s="6" t="s">
        <v>54</v>
      </c>
      <c r="Q300" s="8" t="s">
        <v>55</v>
      </c>
      <c r="R300" s="10" t="s">
        <v>1910</v>
      </c>
      <c r="S300" s="11"/>
      <c r="T300" s="6"/>
      <c r="U300" s="28" t="str">
        <f>HYPERLINK("https://media.infra-m.ru/1816/1816675/cover/1816675.jpg", "Обложка")</f>
        <v>Обложка</v>
      </c>
      <c r="V300" s="28" t="str">
        <f>HYPERLINK("https://znanium.com/catalog/product/1816675", "Ознакомиться")</f>
        <v>Ознакомиться</v>
      </c>
      <c r="W300" s="8" t="s">
        <v>1911</v>
      </c>
      <c r="X300" s="6"/>
      <c r="Y300" s="6"/>
      <c r="Z300" s="6"/>
      <c r="AA300" s="6" t="s">
        <v>206</v>
      </c>
    </row>
    <row r="301" spans="1:27" s="4" customFormat="1" ht="51.95" customHeight="1">
      <c r="A301" s="5">
        <v>0</v>
      </c>
      <c r="B301" s="6" t="s">
        <v>1912</v>
      </c>
      <c r="C301" s="13">
        <v>1730</v>
      </c>
      <c r="D301" s="8" t="s">
        <v>1913</v>
      </c>
      <c r="E301" s="8" t="s">
        <v>1914</v>
      </c>
      <c r="F301" s="8" t="s">
        <v>964</v>
      </c>
      <c r="G301" s="6" t="s">
        <v>63</v>
      </c>
      <c r="H301" s="6" t="s">
        <v>64</v>
      </c>
      <c r="I301" s="8" t="s">
        <v>83</v>
      </c>
      <c r="J301" s="9">
        <v>1</v>
      </c>
      <c r="K301" s="9">
        <v>456</v>
      </c>
      <c r="L301" s="9">
        <v>2022</v>
      </c>
      <c r="M301" s="8" t="s">
        <v>1915</v>
      </c>
      <c r="N301" s="8" t="s">
        <v>41</v>
      </c>
      <c r="O301" s="8" t="s">
        <v>97</v>
      </c>
      <c r="P301" s="6" t="s">
        <v>67</v>
      </c>
      <c r="Q301" s="8" t="s">
        <v>86</v>
      </c>
      <c r="R301" s="10" t="s">
        <v>227</v>
      </c>
      <c r="S301" s="11" t="s">
        <v>1916</v>
      </c>
      <c r="T301" s="6"/>
      <c r="U301" s="28" t="str">
        <f>HYPERLINK("https://media.infra-m.ru/1863/1863413/cover/1863413.jpg", "Обложка")</f>
        <v>Обложка</v>
      </c>
      <c r="V301" s="28" t="str">
        <f>HYPERLINK("https://znanium.com/catalog/product/1863413", "Ознакомиться")</f>
        <v>Ознакомиться</v>
      </c>
      <c r="W301" s="8" t="s">
        <v>968</v>
      </c>
      <c r="X301" s="6"/>
      <c r="Y301" s="6"/>
      <c r="Z301" s="6"/>
      <c r="AA301" s="6" t="s">
        <v>401</v>
      </c>
    </row>
    <row r="302" spans="1:27" s="4" customFormat="1" ht="51.95" customHeight="1">
      <c r="A302" s="5">
        <v>0</v>
      </c>
      <c r="B302" s="6" t="s">
        <v>1917</v>
      </c>
      <c r="C302" s="13">
        <v>1404</v>
      </c>
      <c r="D302" s="8" t="s">
        <v>1918</v>
      </c>
      <c r="E302" s="8" t="s">
        <v>1919</v>
      </c>
      <c r="F302" s="8" t="s">
        <v>1920</v>
      </c>
      <c r="G302" s="6" t="s">
        <v>95</v>
      </c>
      <c r="H302" s="6" t="s">
        <v>329</v>
      </c>
      <c r="I302" s="8" t="s">
        <v>185</v>
      </c>
      <c r="J302" s="9">
        <v>1</v>
      </c>
      <c r="K302" s="9">
        <v>304</v>
      </c>
      <c r="L302" s="9">
        <v>2024</v>
      </c>
      <c r="M302" s="8" t="s">
        <v>1921</v>
      </c>
      <c r="N302" s="8" t="s">
        <v>41</v>
      </c>
      <c r="O302" s="8" t="s">
        <v>97</v>
      </c>
      <c r="P302" s="6" t="s">
        <v>54</v>
      </c>
      <c r="Q302" s="8" t="s">
        <v>86</v>
      </c>
      <c r="R302" s="10" t="s">
        <v>555</v>
      </c>
      <c r="S302" s="11" t="s">
        <v>151</v>
      </c>
      <c r="T302" s="6"/>
      <c r="U302" s="28" t="str">
        <f>HYPERLINK("https://media.infra-m.ru/2056/2056633/cover/2056633.jpg", "Обложка")</f>
        <v>Обложка</v>
      </c>
      <c r="V302" s="28" t="str">
        <f>HYPERLINK("https://znanium.com/catalog/product/972166", "Ознакомиться")</f>
        <v>Ознакомиться</v>
      </c>
      <c r="W302" s="8" t="s">
        <v>1922</v>
      </c>
      <c r="X302" s="6"/>
      <c r="Y302" s="6"/>
      <c r="Z302" s="6"/>
      <c r="AA302" s="6" t="s">
        <v>307</v>
      </c>
    </row>
    <row r="303" spans="1:27" s="4" customFormat="1" ht="44.1" customHeight="1">
      <c r="A303" s="5">
        <v>0</v>
      </c>
      <c r="B303" s="6" t="s">
        <v>1923</v>
      </c>
      <c r="C303" s="7">
        <v>609.9</v>
      </c>
      <c r="D303" s="8" t="s">
        <v>1924</v>
      </c>
      <c r="E303" s="8" t="s">
        <v>1925</v>
      </c>
      <c r="F303" s="8" t="s">
        <v>1926</v>
      </c>
      <c r="G303" s="6" t="s">
        <v>95</v>
      </c>
      <c r="H303" s="6" t="s">
        <v>52</v>
      </c>
      <c r="I303" s="8"/>
      <c r="J303" s="9">
        <v>1</v>
      </c>
      <c r="K303" s="9">
        <v>152</v>
      </c>
      <c r="L303" s="9">
        <v>2021</v>
      </c>
      <c r="M303" s="8" t="s">
        <v>1927</v>
      </c>
      <c r="N303" s="8" t="s">
        <v>41</v>
      </c>
      <c r="O303" s="8" t="s">
        <v>97</v>
      </c>
      <c r="P303" s="6" t="s">
        <v>54</v>
      </c>
      <c r="Q303" s="8" t="s">
        <v>55</v>
      </c>
      <c r="R303" s="10" t="s">
        <v>555</v>
      </c>
      <c r="S303" s="11"/>
      <c r="T303" s="6"/>
      <c r="U303" s="28" t="str">
        <f>HYPERLINK("https://media.infra-m.ru/1303/1303010/cover/1303010.jpg", "Обложка")</f>
        <v>Обложка</v>
      </c>
      <c r="V303" s="28" t="str">
        <f>HYPERLINK("https://znanium.com/catalog/product/1303010", "Ознакомиться")</f>
        <v>Ознакомиться</v>
      </c>
      <c r="W303" s="8" t="s">
        <v>57</v>
      </c>
      <c r="X303" s="6"/>
      <c r="Y303" s="6"/>
      <c r="Z303" s="6"/>
      <c r="AA303" s="6" t="s">
        <v>58</v>
      </c>
    </row>
    <row r="304" spans="1:27" s="4" customFormat="1" ht="42" customHeight="1">
      <c r="A304" s="5">
        <v>0</v>
      </c>
      <c r="B304" s="6" t="s">
        <v>1928</v>
      </c>
      <c r="C304" s="13">
        <v>2160</v>
      </c>
      <c r="D304" s="8" t="s">
        <v>1929</v>
      </c>
      <c r="E304" s="8" t="s">
        <v>1930</v>
      </c>
      <c r="F304" s="8" t="s">
        <v>1931</v>
      </c>
      <c r="G304" s="6" t="s">
        <v>63</v>
      </c>
      <c r="H304" s="6" t="s">
        <v>347</v>
      </c>
      <c r="I304" s="8"/>
      <c r="J304" s="9">
        <v>1</v>
      </c>
      <c r="K304" s="9">
        <v>568</v>
      </c>
      <c r="L304" s="9">
        <v>2022</v>
      </c>
      <c r="M304" s="8" t="s">
        <v>1932</v>
      </c>
      <c r="N304" s="8" t="s">
        <v>41</v>
      </c>
      <c r="O304" s="8" t="s">
        <v>97</v>
      </c>
      <c r="P304" s="6" t="s">
        <v>67</v>
      </c>
      <c r="Q304" s="8" t="s">
        <v>86</v>
      </c>
      <c r="R304" s="10" t="s">
        <v>1933</v>
      </c>
      <c r="S304" s="11"/>
      <c r="T304" s="6"/>
      <c r="U304" s="28" t="str">
        <f>HYPERLINK("https://media.infra-m.ru/1857/1857817/cover/1857817.jpg", "Обложка")</f>
        <v>Обложка</v>
      </c>
      <c r="V304" s="28" t="str">
        <f>HYPERLINK("https://znanium.com/catalog/product/1857817", "Ознакомиться")</f>
        <v>Ознакомиться</v>
      </c>
      <c r="W304" s="8" t="s">
        <v>579</v>
      </c>
      <c r="X304" s="6"/>
      <c r="Y304" s="6"/>
      <c r="Z304" s="6"/>
      <c r="AA304" s="6" t="s">
        <v>244</v>
      </c>
    </row>
    <row r="305" spans="1:27" s="4" customFormat="1" ht="51.95" customHeight="1">
      <c r="A305" s="5">
        <v>0</v>
      </c>
      <c r="B305" s="6" t="s">
        <v>1934</v>
      </c>
      <c r="C305" s="13">
        <v>1950</v>
      </c>
      <c r="D305" s="8" t="s">
        <v>1935</v>
      </c>
      <c r="E305" s="8" t="s">
        <v>1936</v>
      </c>
      <c r="F305" s="8" t="s">
        <v>1937</v>
      </c>
      <c r="G305" s="6" t="s">
        <v>63</v>
      </c>
      <c r="H305" s="6" t="s">
        <v>64</v>
      </c>
      <c r="I305" s="8" t="s">
        <v>132</v>
      </c>
      <c r="J305" s="9">
        <v>1</v>
      </c>
      <c r="K305" s="9">
        <v>624</v>
      </c>
      <c r="L305" s="9">
        <v>2019</v>
      </c>
      <c r="M305" s="8" t="s">
        <v>1938</v>
      </c>
      <c r="N305" s="8" t="s">
        <v>41</v>
      </c>
      <c r="O305" s="8" t="s">
        <v>97</v>
      </c>
      <c r="P305" s="6" t="s">
        <v>67</v>
      </c>
      <c r="Q305" s="8" t="s">
        <v>86</v>
      </c>
      <c r="R305" s="10" t="s">
        <v>1939</v>
      </c>
      <c r="S305" s="11" t="s">
        <v>1940</v>
      </c>
      <c r="T305" s="6"/>
      <c r="U305" s="28" t="str">
        <f>HYPERLINK("https://media.infra-m.ru/0996/0996147/cover/996147.jpg", "Обложка")</f>
        <v>Обложка</v>
      </c>
      <c r="V305" s="28" t="str">
        <f>HYPERLINK("https://znanium.com/catalog/product/1964932", "Ознакомиться")</f>
        <v>Ознакомиться</v>
      </c>
      <c r="W305" s="8" t="s">
        <v>110</v>
      </c>
      <c r="X305" s="6"/>
      <c r="Y305" s="6"/>
      <c r="Z305" s="6"/>
      <c r="AA305" s="6" t="s">
        <v>1025</v>
      </c>
    </row>
    <row r="306" spans="1:27" s="4" customFormat="1" ht="42" customHeight="1">
      <c r="A306" s="5">
        <v>0</v>
      </c>
      <c r="B306" s="6" t="s">
        <v>1941</v>
      </c>
      <c r="C306" s="13">
        <v>1390</v>
      </c>
      <c r="D306" s="8" t="s">
        <v>1942</v>
      </c>
      <c r="E306" s="8" t="s">
        <v>1943</v>
      </c>
      <c r="F306" s="8" t="s">
        <v>1931</v>
      </c>
      <c r="G306" s="6" t="s">
        <v>95</v>
      </c>
      <c r="H306" s="6" t="s">
        <v>347</v>
      </c>
      <c r="I306" s="8"/>
      <c r="J306" s="9">
        <v>1</v>
      </c>
      <c r="K306" s="9">
        <v>560</v>
      </c>
      <c r="L306" s="9">
        <v>2018</v>
      </c>
      <c r="M306" s="8" t="s">
        <v>1944</v>
      </c>
      <c r="N306" s="8" t="s">
        <v>41</v>
      </c>
      <c r="O306" s="8" t="s">
        <v>97</v>
      </c>
      <c r="P306" s="6" t="s">
        <v>67</v>
      </c>
      <c r="Q306" s="8" t="s">
        <v>86</v>
      </c>
      <c r="R306" s="10" t="s">
        <v>1933</v>
      </c>
      <c r="S306" s="11"/>
      <c r="T306" s="6"/>
      <c r="U306" s="28" t="str">
        <f>HYPERLINK("https://media.infra-m.ru/0959/0959867/cover/959867.jpg", "Обложка")</f>
        <v>Обложка</v>
      </c>
      <c r="V306" s="28" t="str">
        <f>HYPERLINK("https://znanium.com/catalog/product/1857817", "Ознакомиться")</f>
        <v>Ознакомиться</v>
      </c>
      <c r="W306" s="8" t="s">
        <v>579</v>
      </c>
      <c r="X306" s="6"/>
      <c r="Y306" s="6"/>
      <c r="Z306" s="6"/>
      <c r="AA306" s="6" t="s">
        <v>206</v>
      </c>
    </row>
    <row r="307" spans="1:27" s="4" customFormat="1" ht="51.95" customHeight="1">
      <c r="A307" s="5">
        <v>0</v>
      </c>
      <c r="B307" s="6" t="s">
        <v>1945</v>
      </c>
      <c r="C307" s="13">
        <v>1284.9000000000001</v>
      </c>
      <c r="D307" s="8" t="s">
        <v>1946</v>
      </c>
      <c r="E307" s="8" t="s">
        <v>1947</v>
      </c>
      <c r="F307" s="8" t="s">
        <v>1948</v>
      </c>
      <c r="G307" s="6" t="s">
        <v>95</v>
      </c>
      <c r="H307" s="6" t="s">
        <v>347</v>
      </c>
      <c r="I307" s="8"/>
      <c r="J307" s="9">
        <v>1</v>
      </c>
      <c r="K307" s="9">
        <v>400</v>
      </c>
      <c r="L307" s="9">
        <v>2019</v>
      </c>
      <c r="M307" s="8" t="s">
        <v>1949</v>
      </c>
      <c r="N307" s="8" t="s">
        <v>41</v>
      </c>
      <c r="O307" s="8" t="s">
        <v>97</v>
      </c>
      <c r="P307" s="6" t="s">
        <v>54</v>
      </c>
      <c r="Q307" s="8" t="s">
        <v>86</v>
      </c>
      <c r="R307" s="10" t="s">
        <v>1950</v>
      </c>
      <c r="S307" s="11" t="s">
        <v>1951</v>
      </c>
      <c r="T307" s="6"/>
      <c r="U307" s="28" t="str">
        <f>HYPERLINK("https://media.infra-m.ru/1007/1007935/cover/1007935.jpg", "Обложка")</f>
        <v>Обложка</v>
      </c>
      <c r="V307" s="28" t="str">
        <f>HYPERLINK("https://znanium.com/catalog/product/1007935", "Ознакомиться")</f>
        <v>Ознакомиться</v>
      </c>
      <c r="W307" s="8" t="s">
        <v>476</v>
      </c>
      <c r="X307" s="6"/>
      <c r="Y307" s="6"/>
      <c r="Z307" s="6"/>
      <c r="AA307" s="6" t="s">
        <v>251</v>
      </c>
    </row>
    <row r="308" spans="1:27" s="4" customFormat="1" ht="51.95" customHeight="1">
      <c r="A308" s="5">
        <v>0</v>
      </c>
      <c r="B308" s="6" t="s">
        <v>1952</v>
      </c>
      <c r="C308" s="13">
        <v>1880</v>
      </c>
      <c r="D308" s="8" t="s">
        <v>1953</v>
      </c>
      <c r="E308" s="8" t="s">
        <v>1954</v>
      </c>
      <c r="F308" s="8" t="s">
        <v>1955</v>
      </c>
      <c r="G308" s="6" t="s">
        <v>63</v>
      </c>
      <c r="H308" s="6" t="s">
        <v>64</v>
      </c>
      <c r="I308" s="8" t="s">
        <v>65</v>
      </c>
      <c r="J308" s="9">
        <v>1</v>
      </c>
      <c r="K308" s="9">
        <v>447</v>
      </c>
      <c r="L308" s="9">
        <v>2022</v>
      </c>
      <c r="M308" s="8" t="s">
        <v>1956</v>
      </c>
      <c r="N308" s="8" t="s">
        <v>41</v>
      </c>
      <c r="O308" s="8" t="s">
        <v>97</v>
      </c>
      <c r="P308" s="6" t="s">
        <v>67</v>
      </c>
      <c r="Q308" s="8" t="s">
        <v>55</v>
      </c>
      <c r="R308" s="10" t="s">
        <v>833</v>
      </c>
      <c r="S308" s="11" t="s">
        <v>1957</v>
      </c>
      <c r="T308" s="6"/>
      <c r="U308" s="28" t="str">
        <f>HYPERLINK("https://media.infra-m.ru/1864/1864969/cover/1864969.jpg", "Обложка")</f>
        <v>Обложка</v>
      </c>
      <c r="V308" s="28" t="str">
        <f>HYPERLINK("https://znanium.com/catalog/product/1864969", "Ознакомиться")</f>
        <v>Ознакомиться</v>
      </c>
      <c r="W308" s="8" t="s">
        <v>110</v>
      </c>
      <c r="X308" s="6"/>
      <c r="Y308" s="6"/>
      <c r="Z308" s="6"/>
      <c r="AA308" s="6" t="s">
        <v>58</v>
      </c>
    </row>
    <row r="309" spans="1:27" s="4" customFormat="1" ht="51.95" customHeight="1">
      <c r="A309" s="5">
        <v>0</v>
      </c>
      <c r="B309" s="6" t="s">
        <v>1958</v>
      </c>
      <c r="C309" s="13">
        <v>1824</v>
      </c>
      <c r="D309" s="8" t="s">
        <v>1959</v>
      </c>
      <c r="E309" s="8" t="s">
        <v>1960</v>
      </c>
      <c r="F309" s="8" t="s">
        <v>716</v>
      </c>
      <c r="G309" s="6" t="s">
        <v>63</v>
      </c>
      <c r="H309" s="6" t="s">
        <v>125</v>
      </c>
      <c r="I309" s="8" t="s">
        <v>83</v>
      </c>
      <c r="J309" s="9">
        <v>1</v>
      </c>
      <c r="K309" s="9">
        <v>398</v>
      </c>
      <c r="L309" s="9">
        <v>2020</v>
      </c>
      <c r="M309" s="8" t="s">
        <v>1961</v>
      </c>
      <c r="N309" s="8" t="s">
        <v>41</v>
      </c>
      <c r="O309" s="8" t="s">
        <v>97</v>
      </c>
      <c r="P309" s="6" t="s">
        <v>67</v>
      </c>
      <c r="Q309" s="8" t="s">
        <v>86</v>
      </c>
      <c r="R309" s="10" t="s">
        <v>1962</v>
      </c>
      <c r="S309" s="11" t="s">
        <v>1963</v>
      </c>
      <c r="T309" s="6"/>
      <c r="U309" s="28" t="str">
        <f>HYPERLINK("https://media.infra-m.ru/2106/2106694/cover/2106694.jpg", "Обложка")</f>
        <v>Обложка</v>
      </c>
      <c r="V309" s="28" t="str">
        <f>HYPERLINK("https://znanium.com/catalog/product/1862636", "Ознакомиться")</f>
        <v>Ознакомиться</v>
      </c>
      <c r="W309" s="8" t="s">
        <v>110</v>
      </c>
      <c r="X309" s="6"/>
      <c r="Y309" s="6"/>
      <c r="Z309" s="6"/>
      <c r="AA309" s="6" t="s">
        <v>251</v>
      </c>
    </row>
    <row r="310" spans="1:27" s="4" customFormat="1" ht="51.95" customHeight="1">
      <c r="A310" s="5">
        <v>0</v>
      </c>
      <c r="B310" s="6" t="s">
        <v>1964</v>
      </c>
      <c r="C310" s="13">
        <v>2500</v>
      </c>
      <c r="D310" s="8" t="s">
        <v>1965</v>
      </c>
      <c r="E310" s="8" t="s">
        <v>1966</v>
      </c>
      <c r="F310" s="8" t="s">
        <v>1967</v>
      </c>
      <c r="G310" s="6" t="s">
        <v>63</v>
      </c>
      <c r="H310" s="6" t="s">
        <v>64</v>
      </c>
      <c r="I310" s="8" t="s">
        <v>217</v>
      </c>
      <c r="J310" s="9">
        <v>1</v>
      </c>
      <c r="K310" s="9">
        <v>582</v>
      </c>
      <c r="L310" s="9">
        <v>2023</v>
      </c>
      <c r="M310" s="8" t="s">
        <v>1968</v>
      </c>
      <c r="N310" s="8" t="s">
        <v>41</v>
      </c>
      <c r="O310" s="8" t="s">
        <v>97</v>
      </c>
      <c r="P310" s="6" t="s">
        <v>67</v>
      </c>
      <c r="Q310" s="8" t="s">
        <v>86</v>
      </c>
      <c r="R310" s="10" t="s">
        <v>1939</v>
      </c>
      <c r="S310" s="11" t="s">
        <v>1940</v>
      </c>
      <c r="T310" s="6"/>
      <c r="U310" s="28" t="str">
        <f>HYPERLINK("https://media.infra-m.ru/1964/1964932/cover/1964932.jpg", "Обложка")</f>
        <v>Обложка</v>
      </c>
      <c r="V310" s="28" t="str">
        <f>HYPERLINK("https://znanium.com/catalog/product/1964932", "Ознакомиться")</f>
        <v>Ознакомиться</v>
      </c>
      <c r="W310" s="8" t="s">
        <v>110</v>
      </c>
      <c r="X310" s="6"/>
      <c r="Y310" s="6"/>
      <c r="Z310" s="6"/>
      <c r="AA310" s="6" t="s">
        <v>1969</v>
      </c>
    </row>
    <row r="311" spans="1:27" s="4" customFormat="1" ht="51.95" customHeight="1">
      <c r="A311" s="5">
        <v>0</v>
      </c>
      <c r="B311" s="6" t="s">
        <v>1970</v>
      </c>
      <c r="C311" s="7">
        <v>990</v>
      </c>
      <c r="D311" s="8" t="s">
        <v>1971</v>
      </c>
      <c r="E311" s="8" t="s">
        <v>1936</v>
      </c>
      <c r="F311" s="8" t="s">
        <v>1972</v>
      </c>
      <c r="G311" s="6" t="s">
        <v>63</v>
      </c>
      <c r="H311" s="6" t="s">
        <v>64</v>
      </c>
      <c r="I311" s="8" t="s">
        <v>65</v>
      </c>
      <c r="J311" s="9">
        <v>1</v>
      </c>
      <c r="K311" s="9">
        <v>265</v>
      </c>
      <c r="L311" s="9">
        <v>2021</v>
      </c>
      <c r="M311" s="8" t="s">
        <v>1973</v>
      </c>
      <c r="N311" s="8" t="s">
        <v>41</v>
      </c>
      <c r="O311" s="8" t="s">
        <v>97</v>
      </c>
      <c r="P311" s="6" t="s">
        <v>67</v>
      </c>
      <c r="Q311" s="8" t="s">
        <v>55</v>
      </c>
      <c r="R311" s="10" t="s">
        <v>98</v>
      </c>
      <c r="S311" s="11" t="s">
        <v>1974</v>
      </c>
      <c r="T311" s="6" t="s">
        <v>144</v>
      </c>
      <c r="U311" s="28" t="str">
        <f>HYPERLINK("https://media.infra-m.ru/1239/1239253/cover/1239253.jpg", "Обложка")</f>
        <v>Обложка</v>
      </c>
      <c r="V311" s="28" t="str">
        <f>HYPERLINK("https://znanium.com/catalog/product/1239253", "Ознакомиться")</f>
        <v>Ознакомиться</v>
      </c>
      <c r="W311" s="8" t="s">
        <v>1537</v>
      </c>
      <c r="X311" s="6"/>
      <c r="Y311" s="6"/>
      <c r="Z311" s="6"/>
      <c r="AA311" s="6" t="s">
        <v>1122</v>
      </c>
    </row>
    <row r="312" spans="1:27" s="4" customFormat="1" ht="51.95" customHeight="1">
      <c r="A312" s="5">
        <v>0</v>
      </c>
      <c r="B312" s="6" t="s">
        <v>1975</v>
      </c>
      <c r="C312" s="13">
        <v>1150</v>
      </c>
      <c r="D312" s="8" t="s">
        <v>1976</v>
      </c>
      <c r="E312" s="8" t="s">
        <v>1977</v>
      </c>
      <c r="F312" s="8" t="s">
        <v>1978</v>
      </c>
      <c r="G312" s="6" t="s">
        <v>95</v>
      </c>
      <c r="H312" s="6" t="s">
        <v>64</v>
      </c>
      <c r="I312" s="8" t="s">
        <v>185</v>
      </c>
      <c r="J312" s="9">
        <v>1</v>
      </c>
      <c r="K312" s="9">
        <v>293</v>
      </c>
      <c r="L312" s="9">
        <v>2022</v>
      </c>
      <c r="M312" s="8" t="s">
        <v>1979</v>
      </c>
      <c r="N312" s="8" t="s">
        <v>41</v>
      </c>
      <c r="O312" s="8" t="s">
        <v>97</v>
      </c>
      <c r="P312" s="6" t="s">
        <v>67</v>
      </c>
      <c r="Q312" s="8" t="s">
        <v>134</v>
      </c>
      <c r="R312" s="10" t="s">
        <v>398</v>
      </c>
      <c r="S312" s="11" t="s">
        <v>1980</v>
      </c>
      <c r="T312" s="6"/>
      <c r="U312" s="28" t="str">
        <f>HYPERLINK("https://media.infra-m.ru/1836/1836225/cover/1836225.jpg", "Обложка")</f>
        <v>Обложка</v>
      </c>
      <c r="V312" s="28" t="str">
        <f>HYPERLINK("https://znanium.com/catalog/product/1836225", "Ознакомиться")</f>
        <v>Ознакомиться</v>
      </c>
      <c r="W312" s="8" t="s">
        <v>120</v>
      </c>
      <c r="X312" s="6"/>
      <c r="Y312" s="6"/>
      <c r="Z312" s="6"/>
      <c r="AA312" s="6" t="s">
        <v>687</v>
      </c>
    </row>
    <row r="313" spans="1:27" s="4" customFormat="1" ht="42" customHeight="1">
      <c r="A313" s="5">
        <v>0</v>
      </c>
      <c r="B313" s="6" t="s">
        <v>1981</v>
      </c>
      <c r="C313" s="13">
        <v>1210</v>
      </c>
      <c r="D313" s="8" t="s">
        <v>1982</v>
      </c>
      <c r="E313" s="8" t="s">
        <v>1983</v>
      </c>
      <c r="F313" s="8" t="s">
        <v>1984</v>
      </c>
      <c r="G313" s="6" t="s">
        <v>95</v>
      </c>
      <c r="H313" s="6" t="s">
        <v>64</v>
      </c>
      <c r="I313" s="8" t="s">
        <v>185</v>
      </c>
      <c r="J313" s="9">
        <v>1</v>
      </c>
      <c r="K313" s="9">
        <v>254</v>
      </c>
      <c r="L313" s="9">
        <v>2023</v>
      </c>
      <c r="M313" s="8" t="s">
        <v>1985</v>
      </c>
      <c r="N313" s="8" t="s">
        <v>41</v>
      </c>
      <c r="O313" s="8" t="s">
        <v>97</v>
      </c>
      <c r="P313" s="6" t="s">
        <v>67</v>
      </c>
      <c r="Q313" s="8" t="s">
        <v>86</v>
      </c>
      <c r="R313" s="10" t="s">
        <v>1986</v>
      </c>
      <c r="S313" s="11"/>
      <c r="T313" s="6"/>
      <c r="U313" s="28" t="str">
        <f>HYPERLINK("https://media.infra-m.ru/1870/1870563/cover/1870563.jpg", "Обложка")</f>
        <v>Обложка</v>
      </c>
      <c r="V313" s="28" t="str">
        <f>HYPERLINK("https://znanium.com/catalog/product/1870563", "Ознакомиться")</f>
        <v>Ознакомиться</v>
      </c>
      <c r="W313" s="8" t="s">
        <v>120</v>
      </c>
      <c r="X313" s="6" t="s">
        <v>1127</v>
      </c>
      <c r="Y313" s="6"/>
      <c r="Z313" s="6"/>
      <c r="AA313" s="6" t="s">
        <v>112</v>
      </c>
    </row>
    <row r="314" spans="1:27" s="4" customFormat="1" ht="51.95" customHeight="1">
      <c r="A314" s="5">
        <v>0</v>
      </c>
      <c r="B314" s="6" t="s">
        <v>1987</v>
      </c>
      <c r="C314" s="13">
        <v>1994</v>
      </c>
      <c r="D314" s="8" t="s">
        <v>1988</v>
      </c>
      <c r="E314" s="8" t="s">
        <v>1983</v>
      </c>
      <c r="F314" s="8" t="s">
        <v>1431</v>
      </c>
      <c r="G314" s="6" t="s">
        <v>63</v>
      </c>
      <c r="H314" s="6" t="s">
        <v>125</v>
      </c>
      <c r="I314" s="8" t="s">
        <v>1989</v>
      </c>
      <c r="J314" s="9">
        <v>1</v>
      </c>
      <c r="K314" s="9">
        <v>449</v>
      </c>
      <c r="L314" s="9">
        <v>2020</v>
      </c>
      <c r="M314" s="8" t="s">
        <v>1990</v>
      </c>
      <c r="N314" s="8" t="s">
        <v>41</v>
      </c>
      <c r="O314" s="8" t="s">
        <v>97</v>
      </c>
      <c r="P314" s="6" t="s">
        <v>67</v>
      </c>
      <c r="Q314" s="8" t="s">
        <v>55</v>
      </c>
      <c r="R314" s="10" t="s">
        <v>1991</v>
      </c>
      <c r="S314" s="11" t="s">
        <v>1992</v>
      </c>
      <c r="T314" s="6"/>
      <c r="U314" s="28" t="str">
        <f>HYPERLINK("https://media.infra-m.ru/2106/2106693/cover/2106693.jpg", "Обложка")</f>
        <v>Обложка</v>
      </c>
      <c r="V314" s="28" t="str">
        <f>HYPERLINK("https://znanium.com/catalog/product/1862622", "Ознакомиться")</f>
        <v>Ознакомиться</v>
      </c>
      <c r="W314" s="8" t="s">
        <v>110</v>
      </c>
      <c r="X314" s="6"/>
      <c r="Y314" s="6"/>
      <c r="Z314" s="6"/>
      <c r="AA314" s="6" t="s">
        <v>166</v>
      </c>
    </row>
    <row r="315" spans="1:27" s="4" customFormat="1" ht="51.95" customHeight="1">
      <c r="A315" s="5">
        <v>0</v>
      </c>
      <c r="B315" s="6" t="s">
        <v>1993</v>
      </c>
      <c r="C315" s="13">
        <v>1134</v>
      </c>
      <c r="D315" s="8" t="s">
        <v>1994</v>
      </c>
      <c r="E315" s="8" t="s">
        <v>1995</v>
      </c>
      <c r="F315" s="8" t="s">
        <v>1996</v>
      </c>
      <c r="G315" s="6" t="s">
        <v>37</v>
      </c>
      <c r="H315" s="6" t="s">
        <v>64</v>
      </c>
      <c r="I315" s="8" t="s">
        <v>39</v>
      </c>
      <c r="J315" s="9">
        <v>1</v>
      </c>
      <c r="K315" s="9">
        <v>249</v>
      </c>
      <c r="L315" s="9">
        <v>2023</v>
      </c>
      <c r="M315" s="8" t="s">
        <v>1997</v>
      </c>
      <c r="N315" s="8" t="s">
        <v>41</v>
      </c>
      <c r="O315" s="8" t="s">
        <v>42</v>
      </c>
      <c r="P315" s="6" t="s">
        <v>43</v>
      </c>
      <c r="Q315" s="8" t="s">
        <v>44</v>
      </c>
      <c r="R315" s="10" t="s">
        <v>1998</v>
      </c>
      <c r="S315" s="11"/>
      <c r="T315" s="6"/>
      <c r="U315" s="28" t="str">
        <f>HYPERLINK("https://media.infra-m.ru/2006/2006938/cover/2006938.jpg", "Обложка")</f>
        <v>Обложка</v>
      </c>
      <c r="V315" s="28" t="str">
        <f>HYPERLINK("https://znanium.com/catalog/product/1002633", "Ознакомиться")</f>
        <v>Ознакомиться</v>
      </c>
      <c r="W315" s="8" t="s">
        <v>110</v>
      </c>
      <c r="X315" s="6"/>
      <c r="Y315" s="6"/>
      <c r="Z315" s="6"/>
      <c r="AA315" s="6" t="s">
        <v>71</v>
      </c>
    </row>
    <row r="316" spans="1:27" s="4" customFormat="1" ht="44.1" customHeight="1">
      <c r="A316" s="5">
        <v>0</v>
      </c>
      <c r="B316" s="6" t="s">
        <v>1999</v>
      </c>
      <c r="C316" s="13">
        <v>1714</v>
      </c>
      <c r="D316" s="8" t="s">
        <v>2000</v>
      </c>
      <c r="E316" s="8" t="s">
        <v>2001</v>
      </c>
      <c r="F316" s="8" t="s">
        <v>2002</v>
      </c>
      <c r="G316" s="6" t="s">
        <v>95</v>
      </c>
      <c r="H316" s="6" t="s">
        <v>347</v>
      </c>
      <c r="I316" s="8"/>
      <c r="J316" s="9">
        <v>1</v>
      </c>
      <c r="K316" s="9">
        <v>368</v>
      </c>
      <c r="L316" s="9">
        <v>2023</v>
      </c>
      <c r="M316" s="8" t="s">
        <v>2003</v>
      </c>
      <c r="N316" s="8" t="s">
        <v>41</v>
      </c>
      <c r="O316" s="8" t="s">
        <v>97</v>
      </c>
      <c r="P316" s="6" t="s">
        <v>67</v>
      </c>
      <c r="Q316" s="8" t="s">
        <v>86</v>
      </c>
      <c r="R316" s="10" t="s">
        <v>1150</v>
      </c>
      <c r="S316" s="11"/>
      <c r="T316" s="6"/>
      <c r="U316" s="28" t="str">
        <f>HYPERLINK("https://media.infra-m.ru/2085/2085568/cover/2085568.jpg", "Обложка")</f>
        <v>Обложка</v>
      </c>
      <c r="V316" s="28" t="str">
        <f>HYPERLINK("https://znanium.com/catalog/product/1034345", "Ознакомиться")</f>
        <v>Ознакомиться</v>
      </c>
      <c r="W316" s="8" t="s">
        <v>70</v>
      </c>
      <c r="X316" s="6"/>
      <c r="Y316" s="6"/>
      <c r="Z316" s="6"/>
      <c r="AA316" s="6" t="s">
        <v>244</v>
      </c>
    </row>
    <row r="317" spans="1:27" s="4" customFormat="1" ht="44.1" customHeight="1">
      <c r="A317" s="5">
        <v>0</v>
      </c>
      <c r="B317" s="6" t="s">
        <v>2004</v>
      </c>
      <c r="C317" s="13">
        <v>1744.9</v>
      </c>
      <c r="D317" s="8" t="s">
        <v>2005</v>
      </c>
      <c r="E317" s="8" t="s">
        <v>2006</v>
      </c>
      <c r="F317" s="8" t="s">
        <v>2002</v>
      </c>
      <c r="G317" s="6" t="s">
        <v>95</v>
      </c>
      <c r="H317" s="6" t="s">
        <v>347</v>
      </c>
      <c r="I317" s="8"/>
      <c r="J317" s="9">
        <v>6</v>
      </c>
      <c r="K317" s="9">
        <v>688</v>
      </c>
      <c r="L317" s="9">
        <v>2018</v>
      </c>
      <c r="M317" s="8" t="s">
        <v>2007</v>
      </c>
      <c r="N317" s="8" t="s">
        <v>41</v>
      </c>
      <c r="O317" s="8" t="s">
        <v>97</v>
      </c>
      <c r="P317" s="6" t="s">
        <v>67</v>
      </c>
      <c r="Q317" s="8" t="s">
        <v>86</v>
      </c>
      <c r="R317" s="10" t="s">
        <v>1150</v>
      </c>
      <c r="S317" s="11"/>
      <c r="T317" s="6"/>
      <c r="U317" s="28" t="str">
        <f>HYPERLINK("https://media.infra-m.ru/0937/0937959/cover/937959.jpg", "Обложка")</f>
        <v>Обложка</v>
      </c>
      <c r="V317" s="28" t="str">
        <f>HYPERLINK("https://znanium.com/catalog/product/1034345", "Ознакомиться")</f>
        <v>Ознакомиться</v>
      </c>
      <c r="W317" s="8" t="s">
        <v>70</v>
      </c>
      <c r="X317" s="6"/>
      <c r="Y317" s="6"/>
      <c r="Z317" s="6"/>
      <c r="AA317" s="6" t="s">
        <v>317</v>
      </c>
    </row>
    <row r="318" spans="1:27" s="4" customFormat="1" ht="51.95" customHeight="1">
      <c r="A318" s="5">
        <v>0</v>
      </c>
      <c r="B318" s="6" t="s">
        <v>2008</v>
      </c>
      <c r="C318" s="7">
        <v>820</v>
      </c>
      <c r="D318" s="8" t="s">
        <v>2009</v>
      </c>
      <c r="E318" s="8" t="s">
        <v>2010</v>
      </c>
      <c r="F318" s="8" t="s">
        <v>2011</v>
      </c>
      <c r="G318" s="6" t="s">
        <v>63</v>
      </c>
      <c r="H318" s="6" t="s">
        <v>64</v>
      </c>
      <c r="I318" s="8" t="s">
        <v>83</v>
      </c>
      <c r="J318" s="9">
        <v>1</v>
      </c>
      <c r="K318" s="9">
        <v>216</v>
      </c>
      <c r="L318" s="9">
        <v>2022</v>
      </c>
      <c r="M318" s="8" t="s">
        <v>2012</v>
      </c>
      <c r="N318" s="8" t="s">
        <v>41</v>
      </c>
      <c r="O318" s="8" t="s">
        <v>97</v>
      </c>
      <c r="P318" s="6" t="s">
        <v>54</v>
      </c>
      <c r="Q318" s="8" t="s">
        <v>86</v>
      </c>
      <c r="R318" s="10" t="s">
        <v>1408</v>
      </c>
      <c r="S318" s="11" t="s">
        <v>2013</v>
      </c>
      <c r="T318" s="6"/>
      <c r="U318" s="28" t="str">
        <f>HYPERLINK("https://media.infra-m.ru/1831/1831180/cover/1831180.jpg", "Обложка")</f>
        <v>Обложка</v>
      </c>
      <c r="V318" s="28" t="str">
        <f>HYPERLINK("https://znanium.com/catalog/product/1831180", "Ознакомиться")</f>
        <v>Ознакомиться</v>
      </c>
      <c r="W318" s="8" t="s">
        <v>1454</v>
      </c>
      <c r="X318" s="6"/>
      <c r="Y318" s="6"/>
      <c r="Z318" s="6"/>
      <c r="AA318" s="6" t="s">
        <v>1299</v>
      </c>
    </row>
    <row r="319" spans="1:27" s="4" customFormat="1" ht="51.95" customHeight="1">
      <c r="A319" s="5">
        <v>0</v>
      </c>
      <c r="B319" s="6" t="s">
        <v>2014</v>
      </c>
      <c r="C319" s="13">
        <v>2094.9</v>
      </c>
      <c r="D319" s="8" t="s">
        <v>2015</v>
      </c>
      <c r="E319" s="8" t="s">
        <v>2016</v>
      </c>
      <c r="F319" s="8" t="s">
        <v>2017</v>
      </c>
      <c r="G319" s="6" t="s">
        <v>95</v>
      </c>
      <c r="H319" s="6" t="s">
        <v>347</v>
      </c>
      <c r="I319" s="8"/>
      <c r="J319" s="9">
        <v>1</v>
      </c>
      <c r="K319" s="9">
        <v>605</v>
      </c>
      <c r="L319" s="9">
        <v>2022</v>
      </c>
      <c r="M319" s="8" t="s">
        <v>2018</v>
      </c>
      <c r="N319" s="8" t="s">
        <v>41</v>
      </c>
      <c r="O319" s="8" t="s">
        <v>85</v>
      </c>
      <c r="P319" s="6" t="s">
        <v>54</v>
      </c>
      <c r="Q319" s="8" t="s">
        <v>134</v>
      </c>
      <c r="R319" s="10" t="s">
        <v>2019</v>
      </c>
      <c r="S319" s="11" t="s">
        <v>2020</v>
      </c>
      <c r="T319" s="6"/>
      <c r="U319" s="28" t="str">
        <f>HYPERLINK("https://media.infra-m.ru/1838/1838852/cover/1838852.jpg", "Обложка")</f>
        <v>Обложка</v>
      </c>
      <c r="V319" s="28" t="str">
        <f>HYPERLINK("https://znanium.com/catalog/product/1838852", "Ознакомиться")</f>
        <v>Ознакомиться</v>
      </c>
      <c r="W319" s="8" t="s">
        <v>70</v>
      </c>
      <c r="X319" s="6"/>
      <c r="Y319" s="6"/>
      <c r="Z319" s="6"/>
      <c r="AA319" s="6" t="s">
        <v>469</v>
      </c>
    </row>
    <row r="320" spans="1:27" s="4" customFormat="1" ht="51.95" customHeight="1">
      <c r="A320" s="5">
        <v>0</v>
      </c>
      <c r="B320" s="6" t="s">
        <v>2021</v>
      </c>
      <c r="C320" s="7">
        <v>554</v>
      </c>
      <c r="D320" s="8" t="s">
        <v>2022</v>
      </c>
      <c r="E320" s="8" t="s">
        <v>2023</v>
      </c>
      <c r="F320" s="8" t="s">
        <v>2024</v>
      </c>
      <c r="G320" s="6" t="s">
        <v>37</v>
      </c>
      <c r="H320" s="6" t="s">
        <v>64</v>
      </c>
      <c r="I320" s="8" t="s">
        <v>39</v>
      </c>
      <c r="J320" s="9">
        <v>1</v>
      </c>
      <c r="K320" s="9">
        <v>120</v>
      </c>
      <c r="L320" s="9">
        <v>2024</v>
      </c>
      <c r="M320" s="8" t="s">
        <v>2025</v>
      </c>
      <c r="N320" s="8" t="s">
        <v>41</v>
      </c>
      <c r="O320" s="8" t="s">
        <v>97</v>
      </c>
      <c r="P320" s="6" t="s">
        <v>43</v>
      </c>
      <c r="Q320" s="8" t="s">
        <v>44</v>
      </c>
      <c r="R320" s="10" t="s">
        <v>2026</v>
      </c>
      <c r="S320" s="11"/>
      <c r="T320" s="6"/>
      <c r="U320" s="28" t="str">
        <f>HYPERLINK("https://media.infra-m.ru/2117/2117160/cover/2117160.jpg", "Обложка")</f>
        <v>Обложка</v>
      </c>
      <c r="V320" s="28" t="str">
        <f>HYPERLINK("https://znanium.com/catalog/product/1015205", "Ознакомиться")</f>
        <v>Ознакомиться</v>
      </c>
      <c r="W320" s="8" t="s">
        <v>159</v>
      </c>
      <c r="X320" s="6"/>
      <c r="Y320" s="6"/>
      <c r="Z320" s="6"/>
      <c r="AA320" s="6" t="s">
        <v>317</v>
      </c>
    </row>
    <row r="321" spans="1:27" s="4" customFormat="1" ht="42" customHeight="1">
      <c r="A321" s="5">
        <v>0</v>
      </c>
      <c r="B321" s="6" t="s">
        <v>2027</v>
      </c>
      <c r="C321" s="13">
        <v>1040</v>
      </c>
      <c r="D321" s="8" t="s">
        <v>2028</v>
      </c>
      <c r="E321" s="8" t="s">
        <v>2029</v>
      </c>
      <c r="F321" s="8" t="s">
        <v>2030</v>
      </c>
      <c r="G321" s="6" t="s">
        <v>37</v>
      </c>
      <c r="H321" s="6" t="s">
        <v>64</v>
      </c>
      <c r="I321" s="8" t="s">
        <v>39</v>
      </c>
      <c r="J321" s="9">
        <v>1</v>
      </c>
      <c r="K321" s="9">
        <v>231</v>
      </c>
      <c r="L321" s="9">
        <v>2023</v>
      </c>
      <c r="M321" s="8" t="s">
        <v>2031</v>
      </c>
      <c r="N321" s="8" t="s">
        <v>41</v>
      </c>
      <c r="O321" s="8" t="s">
        <v>97</v>
      </c>
      <c r="P321" s="6" t="s">
        <v>43</v>
      </c>
      <c r="Q321" s="8" t="s">
        <v>44</v>
      </c>
      <c r="R321" s="10" t="s">
        <v>422</v>
      </c>
      <c r="S321" s="11"/>
      <c r="T321" s="6" t="s">
        <v>144</v>
      </c>
      <c r="U321" s="28" t="str">
        <f>HYPERLINK("https://media.infra-m.ru/1980/1980012/cover/1980012.jpg", "Обложка")</f>
        <v>Обложка</v>
      </c>
      <c r="V321" s="28" t="str">
        <f>HYPERLINK("https://znanium.com/catalog/product/1980012", "Ознакомиться")</f>
        <v>Ознакомиться</v>
      </c>
      <c r="W321" s="8" t="s">
        <v>2032</v>
      </c>
      <c r="X321" s="6"/>
      <c r="Y321" s="6"/>
      <c r="Z321" s="6"/>
      <c r="AA321" s="6" t="s">
        <v>317</v>
      </c>
    </row>
    <row r="322" spans="1:27" s="4" customFormat="1" ht="51.95" customHeight="1">
      <c r="A322" s="5">
        <v>0</v>
      </c>
      <c r="B322" s="6" t="s">
        <v>2033</v>
      </c>
      <c r="C322" s="7">
        <v>960</v>
      </c>
      <c r="D322" s="8" t="s">
        <v>2034</v>
      </c>
      <c r="E322" s="8" t="s">
        <v>2035</v>
      </c>
      <c r="F322" s="8" t="s">
        <v>2036</v>
      </c>
      <c r="G322" s="6" t="s">
        <v>37</v>
      </c>
      <c r="H322" s="6" t="s">
        <v>64</v>
      </c>
      <c r="I322" s="8"/>
      <c r="J322" s="9">
        <v>1</v>
      </c>
      <c r="K322" s="9">
        <v>208</v>
      </c>
      <c r="L322" s="9">
        <v>2024</v>
      </c>
      <c r="M322" s="8" t="s">
        <v>2037</v>
      </c>
      <c r="N322" s="8" t="s">
        <v>41</v>
      </c>
      <c r="O322" s="8" t="s">
        <v>97</v>
      </c>
      <c r="P322" s="6" t="s">
        <v>1837</v>
      </c>
      <c r="Q322" s="8" t="s">
        <v>467</v>
      </c>
      <c r="R322" s="10" t="s">
        <v>2038</v>
      </c>
      <c r="S322" s="11" t="s">
        <v>2039</v>
      </c>
      <c r="T322" s="6"/>
      <c r="U322" s="28" t="str">
        <f>HYPERLINK("https://media.infra-m.ru/2089/2089372/cover/2089372.jpg", "Обложка")</f>
        <v>Обложка</v>
      </c>
      <c r="V322" s="28" t="str">
        <f>HYPERLINK("https://znanium.com/catalog/product/2089372", "Ознакомиться")</f>
        <v>Ознакомиться</v>
      </c>
      <c r="W322" s="8" t="s">
        <v>737</v>
      </c>
      <c r="X322" s="6"/>
      <c r="Y322" s="6"/>
      <c r="Z322" s="6"/>
      <c r="AA322" s="6" t="s">
        <v>1482</v>
      </c>
    </row>
    <row r="323" spans="1:27" s="4" customFormat="1" ht="51.95" customHeight="1">
      <c r="A323" s="5">
        <v>0</v>
      </c>
      <c r="B323" s="6" t="s">
        <v>2040</v>
      </c>
      <c r="C323" s="13">
        <v>1590</v>
      </c>
      <c r="D323" s="8" t="s">
        <v>2041</v>
      </c>
      <c r="E323" s="8" t="s">
        <v>2042</v>
      </c>
      <c r="F323" s="8" t="s">
        <v>2043</v>
      </c>
      <c r="G323" s="6" t="s">
        <v>37</v>
      </c>
      <c r="H323" s="6" t="s">
        <v>64</v>
      </c>
      <c r="I323" s="8" t="s">
        <v>39</v>
      </c>
      <c r="J323" s="9">
        <v>1</v>
      </c>
      <c r="K323" s="9">
        <v>334</v>
      </c>
      <c r="L323" s="9">
        <v>2023</v>
      </c>
      <c r="M323" s="8" t="s">
        <v>2044</v>
      </c>
      <c r="N323" s="8" t="s">
        <v>41</v>
      </c>
      <c r="O323" s="8" t="s">
        <v>97</v>
      </c>
      <c r="P323" s="6" t="s">
        <v>43</v>
      </c>
      <c r="Q323" s="8" t="s">
        <v>44</v>
      </c>
      <c r="R323" s="10" t="s">
        <v>2045</v>
      </c>
      <c r="S323" s="11"/>
      <c r="T323" s="6"/>
      <c r="U323" s="28" t="str">
        <f>HYPERLINK("https://media.infra-m.ru/1907/1907644/cover/1907644.jpg", "Обложка")</f>
        <v>Обложка</v>
      </c>
      <c r="V323" s="28" t="str">
        <f>HYPERLINK("https://znanium.com/catalog/product/1907644", "Ознакомиться")</f>
        <v>Ознакомиться</v>
      </c>
      <c r="W323" s="8" t="s">
        <v>269</v>
      </c>
      <c r="X323" s="6" t="s">
        <v>546</v>
      </c>
      <c r="Y323" s="6"/>
      <c r="Z323" s="6"/>
      <c r="AA323" s="6" t="s">
        <v>112</v>
      </c>
    </row>
    <row r="324" spans="1:27" s="4" customFormat="1" ht="51.95" customHeight="1">
      <c r="A324" s="5">
        <v>0</v>
      </c>
      <c r="B324" s="6" t="s">
        <v>2046</v>
      </c>
      <c r="C324" s="7">
        <v>810</v>
      </c>
      <c r="D324" s="8" t="s">
        <v>2047</v>
      </c>
      <c r="E324" s="8" t="s">
        <v>2048</v>
      </c>
      <c r="F324" s="8" t="s">
        <v>116</v>
      </c>
      <c r="G324" s="6" t="s">
        <v>95</v>
      </c>
      <c r="H324" s="6" t="s">
        <v>64</v>
      </c>
      <c r="I324" s="8" t="s">
        <v>39</v>
      </c>
      <c r="J324" s="9">
        <v>1</v>
      </c>
      <c r="K324" s="9">
        <v>198</v>
      </c>
      <c r="L324" s="9">
        <v>2022</v>
      </c>
      <c r="M324" s="8" t="s">
        <v>2049</v>
      </c>
      <c r="N324" s="8" t="s">
        <v>41</v>
      </c>
      <c r="O324" s="8" t="s">
        <v>85</v>
      </c>
      <c r="P324" s="6" t="s">
        <v>43</v>
      </c>
      <c r="Q324" s="8" t="s">
        <v>44</v>
      </c>
      <c r="R324" s="10" t="s">
        <v>2050</v>
      </c>
      <c r="S324" s="11"/>
      <c r="T324" s="6" t="s">
        <v>144</v>
      </c>
      <c r="U324" s="28" t="str">
        <f>HYPERLINK("https://media.infra-m.ru/1842/1842566/cover/1842566.jpg", "Обложка")</f>
        <v>Обложка</v>
      </c>
      <c r="V324" s="28" t="str">
        <f>HYPERLINK("https://znanium.com/catalog/product/1842566", "Ознакомиться")</f>
        <v>Ознакомиться</v>
      </c>
      <c r="W324" s="8" t="s">
        <v>120</v>
      </c>
      <c r="X324" s="6"/>
      <c r="Y324" s="6"/>
      <c r="Z324" s="6"/>
      <c r="AA324" s="6" t="s">
        <v>687</v>
      </c>
    </row>
    <row r="325" spans="1:27" s="4" customFormat="1" ht="42" customHeight="1">
      <c r="A325" s="5">
        <v>0</v>
      </c>
      <c r="B325" s="6" t="s">
        <v>2051</v>
      </c>
      <c r="C325" s="7">
        <v>900</v>
      </c>
      <c r="D325" s="8" t="s">
        <v>2052</v>
      </c>
      <c r="E325" s="8" t="s">
        <v>2053</v>
      </c>
      <c r="F325" s="8" t="s">
        <v>2054</v>
      </c>
      <c r="G325" s="6" t="s">
        <v>63</v>
      </c>
      <c r="H325" s="6" t="s">
        <v>125</v>
      </c>
      <c r="I325" s="8"/>
      <c r="J325" s="9">
        <v>1</v>
      </c>
      <c r="K325" s="9">
        <v>281</v>
      </c>
      <c r="L325" s="9">
        <v>2019</v>
      </c>
      <c r="M325" s="8" t="s">
        <v>2055</v>
      </c>
      <c r="N325" s="8" t="s">
        <v>41</v>
      </c>
      <c r="O325" s="8" t="s">
        <v>97</v>
      </c>
      <c r="P325" s="6" t="s">
        <v>54</v>
      </c>
      <c r="Q325" s="8" t="s">
        <v>55</v>
      </c>
      <c r="R325" s="10" t="s">
        <v>422</v>
      </c>
      <c r="S325" s="11"/>
      <c r="T325" s="6" t="s">
        <v>144</v>
      </c>
      <c r="U325" s="28" t="str">
        <f>HYPERLINK("https://media.infra-m.ru/0995/0995941/cover/995941.jpg", "Обложка")</f>
        <v>Обложка</v>
      </c>
      <c r="V325" s="28" t="str">
        <f>HYPERLINK("https://znanium.com/catalog/product/995941", "Ознакомиться")</f>
        <v>Ознакомиться</v>
      </c>
      <c r="W325" s="8" t="s">
        <v>110</v>
      </c>
      <c r="X325" s="6"/>
      <c r="Y325" s="6"/>
      <c r="Z325" s="6"/>
      <c r="AA325" s="6" t="s">
        <v>206</v>
      </c>
    </row>
    <row r="326" spans="1:27" s="4" customFormat="1" ht="44.1" customHeight="1">
      <c r="A326" s="5">
        <v>0</v>
      </c>
      <c r="B326" s="6" t="s">
        <v>2056</v>
      </c>
      <c r="C326" s="13">
        <v>1524.9</v>
      </c>
      <c r="D326" s="8" t="s">
        <v>2057</v>
      </c>
      <c r="E326" s="8" t="s">
        <v>2058</v>
      </c>
      <c r="F326" s="8" t="s">
        <v>2059</v>
      </c>
      <c r="G326" s="6" t="s">
        <v>37</v>
      </c>
      <c r="H326" s="6" t="s">
        <v>64</v>
      </c>
      <c r="I326" s="8" t="s">
        <v>39</v>
      </c>
      <c r="J326" s="9">
        <v>1</v>
      </c>
      <c r="K326" s="9">
        <v>338</v>
      </c>
      <c r="L326" s="9">
        <v>2023</v>
      </c>
      <c r="M326" s="8" t="s">
        <v>2060</v>
      </c>
      <c r="N326" s="8" t="s">
        <v>41</v>
      </c>
      <c r="O326" s="8" t="s">
        <v>85</v>
      </c>
      <c r="P326" s="6" t="s">
        <v>43</v>
      </c>
      <c r="Q326" s="8" t="s">
        <v>44</v>
      </c>
      <c r="R326" s="10" t="s">
        <v>482</v>
      </c>
      <c r="S326" s="11"/>
      <c r="T326" s="6"/>
      <c r="U326" s="28" t="str">
        <f>HYPERLINK("https://media.infra-m.ru/1965/1965767/cover/1965767.jpg", "Обложка")</f>
        <v>Обложка</v>
      </c>
      <c r="V326" s="28" t="str">
        <f>HYPERLINK("https://znanium.com/catalog/product/1021947", "Ознакомиться")</f>
        <v>Ознакомиться</v>
      </c>
      <c r="W326" s="8" t="s">
        <v>756</v>
      </c>
      <c r="X326" s="6"/>
      <c r="Y326" s="6"/>
      <c r="Z326" s="6"/>
      <c r="AA326" s="6" t="s">
        <v>166</v>
      </c>
    </row>
    <row r="327" spans="1:27" s="4" customFormat="1" ht="51.95" customHeight="1">
      <c r="A327" s="5">
        <v>0</v>
      </c>
      <c r="B327" s="6" t="s">
        <v>2061</v>
      </c>
      <c r="C327" s="13">
        <v>1370</v>
      </c>
      <c r="D327" s="8" t="s">
        <v>2062</v>
      </c>
      <c r="E327" s="8" t="s">
        <v>2063</v>
      </c>
      <c r="F327" s="8" t="s">
        <v>2064</v>
      </c>
      <c r="G327" s="6" t="s">
        <v>37</v>
      </c>
      <c r="H327" s="6" t="s">
        <v>64</v>
      </c>
      <c r="I327" s="8" t="s">
        <v>39</v>
      </c>
      <c r="J327" s="9">
        <v>1</v>
      </c>
      <c r="K327" s="9">
        <v>304</v>
      </c>
      <c r="L327" s="9">
        <v>2023</v>
      </c>
      <c r="M327" s="8" t="s">
        <v>2065</v>
      </c>
      <c r="N327" s="8" t="s">
        <v>41</v>
      </c>
      <c r="O327" s="8" t="s">
        <v>85</v>
      </c>
      <c r="P327" s="6" t="s">
        <v>43</v>
      </c>
      <c r="Q327" s="8" t="s">
        <v>44</v>
      </c>
      <c r="R327" s="10" t="s">
        <v>1342</v>
      </c>
      <c r="S327" s="11"/>
      <c r="T327" s="6"/>
      <c r="U327" s="28" t="str">
        <f>HYPERLINK("https://media.infra-m.ru/1875/1875454/cover/1875454.jpg", "Обложка")</f>
        <v>Обложка</v>
      </c>
      <c r="V327" s="28" t="str">
        <f>HYPERLINK("https://znanium.com/catalog/product/1875454", "Ознакомиться")</f>
        <v>Ознакомиться</v>
      </c>
      <c r="W327" s="8" t="s">
        <v>756</v>
      </c>
      <c r="X327" s="6"/>
      <c r="Y327" s="6"/>
      <c r="Z327" s="6"/>
      <c r="AA327" s="6" t="s">
        <v>112</v>
      </c>
    </row>
    <row r="328" spans="1:27" s="4" customFormat="1" ht="44.1" customHeight="1">
      <c r="A328" s="5">
        <v>0</v>
      </c>
      <c r="B328" s="6" t="s">
        <v>2066</v>
      </c>
      <c r="C328" s="7">
        <v>444.9</v>
      </c>
      <c r="D328" s="8" t="s">
        <v>2067</v>
      </c>
      <c r="E328" s="8" t="s">
        <v>2068</v>
      </c>
      <c r="F328" s="8" t="s">
        <v>2069</v>
      </c>
      <c r="G328" s="6" t="s">
        <v>37</v>
      </c>
      <c r="H328" s="6" t="s">
        <v>52</v>
      </c>
      <c r="I328" s="8"/>
      <c r="J328" s="14">
        <v>0</v>
      </c>
      <c r="K328" s="9">
        <v>144</v>
      </c>
      <c r="L328" s="9">
        <v>2017</v>
      </c>
      <c r="M328" s="8" t="s">
        <v>2070</v>
      </c>
      <c r="N328" s="8" t="s">
        <v>41</v>
      </c>
      <c r="O328" s="8" t="s">
        <v>42</v>
      </c>
      <c r="P328" s="6" t="s">
        <v>43</v>
      </c>
      <c r="Q328" s="8" t="s">
        <v>467</v>
      </c>
      <c r="R328" s="10" t="s">
        <v>2071</v>
      </c>
      <c r="S328" s="11"/>
      <c r="T328" s="6"/>
      <c r="U328" s="28" t="str">
        <f>HYPERLINK("https://media.infra-m.ru/0773/0773180/cover/773180.jpg", "Обложка")</f>
        <v>Обложка</v>
      </c>
      <c r="V328" s="28" t="str">
        <f>HYPERLINK("https://znanium.com/catalog/product/510787", "Ознакомиться")</f>
        <v>Ознакомиться</v>
      </c>
      <c r="W328" s="8"/>
      <c r="X328" s="6"/>
      <c r="Y328" s="6"/>
      <c r="Z328" s="6"/>
      <c r="AA328" s="6" t="s">
        <v>317</v>
      </c>
    </row>
    <row r="329" spans="1:27" s="4" customFormat="1" ht="44.1" customHeight="1">
      <c r="A329" s="5">
        <v>0</v>
      </c>
      <c r="B329" s="6" t="s">
        <v>2072</v>
      </c>
      <c r="C329" s="7">
        <v>724.9</v>
      </c>
      <c r="D329" s="8" t="s">
        <v>2073</v>
      </c>
      <c r="E329" s="8" t="s">
        <v>2074</v>
      </c>
      <c r="F329" s="8" t="s">
        <v>2075</v>
      </c>
      <c r="G329" s="6" t="s">
        <v>95</v>
      </c>
      <c r="H329" s="6" t="s">
        <v>125</v>
      </c>
      <c r="I329" s="8"/>
      <c r="J329" s="9">
        <v>1</v>
      </c>
      <c r="K329" s="9">
        <v>192</v>
      </c>
      <c r="L329" s="9">
        <v>2022</v>
      </c>
      <c r="M329" s="8" t="s">
        <v>2076</v>
      </c>
      <c r="N329" s="8" t="s">
        <v>41</v>
      </c>
      <c r="O329" s="8" t="s">
        <v>97</v>
      </c>
      <c r="P329" s="6" t="s">
        <v>54</v>
      </c>
      <c r="Q329" s="8" t="s">
        <v>55</v>
      </c>
      <c r="R329" s="10" t="s">
        <v>2077</v>
      </c>
      <c r="S329" s="11"/>
      <c r="T329" s="6"/>
      <c r="U329" s="28" t="str">
        <f>HYPERLINK("https://media.infra-m.ru/1855/1855977/cover/1855977.jpg", "Обложка")</f>
        <v>Обложка</v>
      </c>
      <c r="V329" s="28" t="str">
        <f>HYPERLINK("https://znanium.com/catalog/product/1082315", "Ознакомиться")</f>
        <v>Ознакомиться</v>
      </c>
      <c r="W329" s="8" t="s">
        <v>324</v>
      </c>
      <c r="X329" s="6"/>
      <c r="Y329" s="6"/>
      <c r="Z329" s="6"/>
      <c r="AA329" s="6" t="s">
        <v>90</v>
      </c>
    </row>
    <row r="330" spans="1:27" s="4" customFormat="1" ht="51.95" customHeight="1">
      <c r="A330" s="5">
        <v>0</v>
      </c>
      <c r="B330" s="6" t="s">
        <v>2078</v>
      </c>
      <c r="C330" s="7">
        <v>264.89999999999998</v>
      </c>
      <c r="D330" s="8" t="s">
        <v>2079</v>
      </c>
      <c r="E330" s="8" t="s">
        <v>2080</v>
      </c>
      <c r="F330" s="8" t="s">
        <v>2081</v>
      </c>
      <c r="G330" s="6" t="s">
        <v>37</v>
      </c>
      <c r="H330" s="6" t="s">
        <v>64</v>
      </c>
      <c r="I330" s="8" t="s">
        <v>83</v>
      </c>
      <c r="J330" s="9">
        <v>1</v>
      </c>
      <c r="K330" s="9">
        <v>79</v>
      </c>
      <c r="L330" s="9">
        <v>2020</v>
      </c>
      <c r="M330" s="8" t="s">
        <v>2082</v>
      </c>
      <c r="N330" s="8" t="s">
        <v>41</v>
      </c>
      <c r="O330" s="8" t="s">
        <v>97</v>
      </c>
      <c r="P330" s="6" t="s">
        <v>54</v>
      </c>
      <c r="Q330" s="8" t="s">
        <v>86</v>
      </c>
      <c r="R330" s="10" t="s">
        <v>2083</v>
      </c>
      <c r="S330" s="11"/>
      <c r="T330" s="6"/>
      <c r="U330" s="28" t="str">
        <f>HYPERLINK("https://media.infra-m.ru/1079/1079871/cover/1079871.jpg", "Обложка")</f>
        <v>Обложка</v>
      </c>
      <c r="V330" s="28" t="str">
        <f>HYPERLINK("https://znanium.com/catalog/product/1172173", "Ознакомиться")</f>
        <v>Ознакомиться</v>
      </c>
      <c r="W330" s="8" t="s">
        <v>110</v>
      </c>
      <c r="X330" s="6"/>
      <c r="Y330" s="6"/>
      <c r="Z330" s="6"/>
      <c r="AA330" s="6" t="s">
        <v>251</v>
      </c>
    </row>
    <row r="331" spans="1:27" s="4" customFormat="1" ht="51.95" customHeight="1">
      <c r="A331" s="5">
        <v>0</v>
      </c>
      <c r="B331" s="6" t="s">
        <v>2084</v>
      </c>
      <c r="C331" s="7">
        <v>464.9</v>
      </c>
      <c r="D331" s="8" t="s">
        <v>2085</v>
      </c>
      <c r="E331" s="8" t="s">
        <v>2086</v>
      </c>
      <c r="F331" s="8" t="s">
        <v>2087</v>
      </c>
      <c r="G331" s="6" t="s">
        <v>63</v>
      </c>
      <c r="H331" s="6" t="s">
        <v>64</v>
      </c>
      <c r="I331" s="8" t="s">
        <v>83</v>
      </c>
      <c r="J331" s="9">
        <v>1</v>
      </c>
      <c r="K331" s="9">
        <v>103</v>
      </c>
      <c r="L331" s="9">
        <v>2023</v>
      </c>
      <c r="M331" s="8" t="s">
        <v>2088</v>
      </c>
      <c r="N331" s="8" t="s">
        <v>41</v>
      </c>
      <c r="O331" s="8" t="s">
        <v>97</v>
      </c>
      <c r="P331" s="6" t="s">
        <v>54</v>
      </c>
      <c r="Q331" s="8" t="s">
        <v>86</v>
      </c>
      <c r="R331" s="10" t="s">
        <v>2083</v>
      </c>
      <c r="S331" s="11" t="s">
        <v>2089</v>
      </c>
      <c r="T331" s="6"/>
      <c r="U331" s="28" t="str">
        <f>HYPERLINK("https://media.infra-m.ru/1998/1998807/cover/1998807.jpg", "Обложка")</f>
        <v>Обложка</v>
      </c>
      <c r="V331" s="28" t="str">
        <f>HYPERLINK("https://znanium.com/catalog/product/1172173", "Ознакомиться")</f>
        <v>Ознакомиться</v>
      </c>
      <c r="W331" s="8" t="s">
        <v>110</v>
      </c>
      <c r="X331" s="6"/>
      <c r="Y331" s="6"/>
      <c r="Z331" s="6"/>
      <c r="AA331" s="6" t="s">
        <v>441</v>
      </c>
    </row>
    <row r="332" spans="1:27" s="4" customFormat="1" ht="42" customHeight="1">
      <c r="A332" s="5">
        <v>0</v>
      </c>
      <c r="B332" s="6" t="s">
        <v>2090</v>
      </c>
      <c r="C332" s="13">
        <v>1154.9000000000001</v>
      </c>
      <c r="D332" s="8" t="s">
        <v>2091</v>
      </c>
      <c r="E332" s="8" t="s">
        <v>2092</v>
      </c>
      <c r="F332" s="8" t="s">
        <v>2093</v>
      </c>
      <c r="G332" s="6" t="s">
        <v>37</v>
      </c>
      <c r="H332" s="6" t="s">
        <v>64</v>
      </c>
      <c r="I332" s="8" t="s">
        <v>65</v>
      </c>
      <c r="J332" s="9">
        <v>1</v>
      </c>
      <c r="K332" s="9">
        <v>256</v>
      </c>
      <c r="L332" s="9">
        <v>2023</v>
      </c>
      <c r="M332" s="8" t="s">
        <v>2094</v>
      </c>
      <c r="N332" s="8" t="s">
        <v>41</v>
      </c>
      <c r="O332" s="8" t="s">
        <v>97</v>
      </c>
      <c r="P332" s="6" t="s">
        <v>54</v>
      </c>
      <c r="Q332" s="8" t="s">
        <v>55</v>
      </c>
      <c r="R332" s="10" t="s">
        <v>422</v>
      </c>
      <c r="S332" s="11"/>
      <c r="T332" s="6"/>
      <c r="U332" s="28" t="str">
        <f>HYPERLINK("https://media.infra-m.ru/2001/2001662/cover/2001662.jpg", "Обложка")</f>
        <v>Обложка</v>
      </c>
      <c r="V332" s="28" t="str">
        <f>HYPERLINK("https://znanium.com/catalog/product/1850685", "Ознакомиться")</f>
        <v>Ознакомиться</v>
      </c>
      <c r="W332" s="8" t="s">
        <v>2095</v>
      </c>
      <c r="X332" s="6"/>
      <c r="Y332" s="6"/>
      <c r="Z332" s="6"/>
      <c r="AA332" s="6" t="s">
        <v>90</v>
      </c>
    </row>
    <row r="333" spans="1:27" s="4" customFormat="1" ht="51.95" customHeight="1">
      <c r="A333" s="5">
        <v>0</v>
      </c>
      <c r="B333" s="6" t="s">
        <v>2096</v>
      </c>
      <c r="C333" s="13">
        <v>1990</v>
      </c>
      <c r="D333" s="8" t="s">
        <v>2097</v>
      </c>
      <c r="E333" s="8" t="s">
        <v>2098</v>
      </c>
      <c r="F333" s="8" t="s">
        <v>1967</v>
      </c>
      <c r="G333" s="6" t="s">
        <v>63</v>
      </c>
      <c r="H333" s="6" t="s">
        <v>64</v>
      </c>
      <c r="I333" s="8" t="s">
        <v>106</v>
      </c>
      <c r="J333" s="9">
        <v>1</v>
      </c>
      <c r="K333" s="9">
        <v>451</v>
      </c>
      <c r="L333" s="9">
        <v>2023</v>
      </c>
      <c r="M333" s="8" t="s">
        <v>2099</v>
      </c>
      <c r="N333" s="8" t="s">
        <v>41</v>
      </c>
      <c r="O333" s="8" t="s">
        <v>97</v>
      </c>
      <c r="P333" s="6" t="s">
        <v>67</v>
      </c>
      <c r="Q333" s="8" t="s">
        <v>55</v>
      </c>
      <c r="R333" s="10" t="s">
        <v>686</v>
      </c>
      <c r="S333" s="11" t="s">
        <v>2100</v>
      </c>
      <c r="T333" s="6"/>
      <c r="U333" s="28" t="str">
        <f>HYPERLINK("https://media.infra-m.ru/1905/1905624/cover/1905624.jpg", "Обложка")</f>
        <v>Обложка</v>
      </c>
      <c r="V333" s="28" t="str">
        <f>HYPERLINK("https://znanium.com/catalog/product/1905624", "Ознакомиться")</f>
        <v>Ознакомиться</v>
      </c>
      <c r="W333" s="8" t="s">
        <v>110</v>
      </c>
      <c r="X333" s="6"/>
      <c r="Y333" s="6"/>
      <c r="Z333" s="6"/>
      <c r="AA333" s="6" t="s">
        <v>71</v>
      </c>
    </row>
    <row r="334" spans="1:27" s="4" customFormat="1" ht="51.95" customHeight="1">
      <c r="A334" s="5">
        <v>0</v>
      </c>
      <c r="B334" s="6" t="s">
        <v>2101</v>
      </c>
      <c r="C334" s="7">
        <v>230</v>
      </c>
      <c r="D334" s="8" t="s">
        <v>2102</v>
      </c>
      <c r="E334" s="8" t="s">
        <v>2103</v>
      </c>
      <c r="F334" s="8" t="s">
        <v>2104</v>
      </c>
      <c r="G334" s="6" t="s">
        <v>2105</v>
      </c>
      <c r="H334" s="6" t="s">
        <v>52</v>
      </c>
      <c r="I334" s="8"/>
      <c r="J334" s="9">
        <v>1</v>
      </c>
      <c r="K334" s="9">
        <v>36</v>
      </c>
      <c r="L334" s="9">
        <v>2021</v>
      </c>
      <c r="M334" s="8" t="s">
        <v>2106</v>
      </c>
      <c r="N334" s="8" t="s">
        <v>41</v>
      </c>
      <c r="O334" s="8" t="s">
        <v>42</v>
      </c>
      <c r="P334" s="6" t="s">
        <v>54</v>
      </c>
      <c r="Q334" s="8" t="s">
        <v>86</v>
      </c>
      <c r="R334" s="10" t="s">
        <v>2107</v>
      </c>
      <c r="S334" s="11"/>
      <c r="T334" s="6"/>
      <c r="U334" s="28" t="str">
        <f>HYPERLINK("https://media.infra-m.ru/1257/1257645/cover/1257645.jpg", "Обложка")</f>
        <v>Обложка</v>
      </c>
      <c r="V334" s="28" t="str">
        <f>HYPERLINK("https://znanium.com/catalog/product/1257645", "Ознакомиться")</f>
        <v>Ознакомиться</v>
      </c>
      <c r="W334" s="8" t="s">
        <v>57</v>
      </c>
      <c r="X334" s="6"/>
      <c r="Y334" s="6"/>
      <c r="Z334" s="6"/>
      <c r="AA334" s="6" t="s">
        <v>166</v>
      </c>
    </row>
    <row r="335" spans="1:27" s="4" customFormat="1" ht="44.1" customHeight="1">
      <c r="A335" s="5">
        <v>0</v>
      </c>
      <c r="B335" s="6" t="s">
        <v>2108</v>
      </c>
      <c r="C335" s="7">
        <v>541.9</v>
      </c>
      <c r="D335" s="8" t="s">
        <v>2109</v>
      </c>
      <c r="E335" s="8" t="s">
        <v>2110</v>
      </c>
      <c r="F335" s="8" t="s">
        <v>2111</v>
      </c>
      <c r="G335" s="6" t="s">
        <v>26</v>
      </c>
      <c r="H335" s="6" t="s">
        <v>52</v>
      </c>
      <c r="I335" s="8"/>
      <c r="J335" s="14">
        <v>0</v>
      </c>
      <c r="K335" s="9">
        <v>320</v>
      </c>
      <c r="L335" s="9">
        <v>2016</v>
      </c>
      <c r="M335" s="8" t="s">
        <v>2112</v>
      </c>
      <c r="N335" s="8" t="s">
        <v>41</v>
      </c>
      <c r="O335" s="8" t="s">
        <v>42</v>
      </c>
      <c r="P335" s="6" t="s">
        <v>2113</v>
      </c>
      <c r="Q335" s="8" t="s">
        <v>44</v>
      </c>
      <c r="R335" s="10"/>
      <c r="S335" s="11"/>
      <c r="T335" s="6"/>
      <c r="U335" s="28" t="str">
        <f>HYPERLINK("https://media.infra-m.ru/0765/0765890/cover/765890.jpg", "Обложка")</f>
        <v>Обложка</v>
      </c>
      <c r="V335" s="12"/>
      <c r="W335" s="8" t="s">
        <v>1537</v>
      </c>
      <c r="X335" s="6"/>
      <c r="Y335" s="6"/>
      <c r="Z335" s="6"/>
      <c r="AA335" s="6" t="s">
        <v>78</v>
      </c>
    </row>
    <row r="336" spans="1:27" s="4" customFormat="1" ht="42" customHeight="1">
      <c r="A336" s="5">
        <v>0</v>
      </c>
      <c r="B336" s="6" t="s">
        <v>2114</v>
      </c>
      <c r="C336" s="13">
        <v>1489.9</v>
      </c>
      <c r="D336" s="8" t="s">
        <v>2115</v>
      </c>
      <c r="E336" s="8" t="s">
        <v>2116</v>
      </c>
      <c r="F336" s="8" t="s">
        <v>2117</v>
      </c>
      <c r="G336" s="6" t="s">
        <v>95</v>
      </c>
      <c r="H336" s="6" t="s">
        <v>52</v>
      </c>
      <c r="I336" s="8"/>
      <c r="J336" s="9">
        <v>1</v>
      </c>
      <c r="K336" s="9">
        <v>388</v>
      </c>
      <c r="L336" s="9">
        <v>2022</v>
      </c>
      <c r="M336" s="8" t="s">
        <v>2118</v>
      </c>
      <c r="N336" s="8" t="s">
        <v>41</v>
      </c>
      <c r="O336" s="8" t="s">
        <v>42</v>
      </c>
      <c r="P336" s="6" t="s">
        <v>67</v>
      </c>
      <c r="Q336" s="8" t="s">
        <v>55</v>
      </c>
      <c r="R336" s="10" t="s">
        <v>2119</v>
      </c>
      <c r="S336" s="11"/>
      <c r="T336" s="6"/>
      <c r="U336" s="28" t="str">
        <f>HYPERLINK("https://media.infra-m.ru/1842/1842504/cover/1842504.jpg", "Обложка")</f>
        <v>Обложка</v>
      </c>
      <c r="V336" s="28" t="str">
        <f>HYPERLINK("https://znanium.com/catalog/product/1842504", "Ознакомиться")</f>
        <v>Ознакомиться</v>
      </c>
      <c r="W336" s="8" t="s">
        <v>1335</v>
      </c>
      <c r="X336" s="6"/>
      <c r="Y336" s="6"/>
      <c r="Z336" s="6"/>
      <c r="AA336" s="6" t="s">
        <v>687</v>
      </c>
    </row>
    <row r="337" spans="1:27" s="4" customFormat="1" ht="51.95" customHeight="1">
      <c r="A337" s="5">
        <v>0</v>
      </c>
      <c r="B337" s="6" t="s">
        <v>2120</v>
      </c>
      <c r="C337" s="7">
        <v>310</v>
      </c>
      <c r="D337" s="8" t="s">
        <v>2121</v>
      </c>
      <c r="E337" s="8" t="s">
        <v>2122</v>
      </c>
      <c r="F337" s="8" t="s">
        <v>2123</v>
      </c>
      <c r="G337" s="6" t="s">
        <v>37</v>
      </c>
      <c r="H337" s="6" t="s">
        <v>52</v>
      </c>
      <c r="I337" s="8"/>
      <c r="J337" s="9">
        <v>1</v>
      </c>
      <c r="K337" s="9">
        <v>52</v>
      </c>
      <c r="L337" s="9">
        <v>2023</v>
      </c>
      <c r="M337" s="8" t="s">
        <v>2124</v>
      </c>
      <c r="N337" s="8" t="s">
        <v>41</v>
      </c>
      <c r="O337" s="8" t="s">
        <v>42</v>
      </c>
      <c r="P337" s="6" t="s">
        <v>1433</v>
      </c>
      <c r="Q337" s="8" t="s">
        <v>86</v>
      </c>
      <c r="R337" s="10" t="s">
        <v>2125</v>
      </c>
      <c r="S337" s="11"/>
      <c r="T337" s="6"/>
      <c r="U337" s="28" t="str">
        <f>HYPERLINK("https://media.infra-m.ru/1965/1965740/cover/1965740.jpg", "Обложка")</f>
        <v>Обложка</v>
      </c>
      <c r="V337" s="28" t="str">
        <f>HYPERLINK("https://znanium.com/catalog/product/1965740", "Ознакомиться")</f>
        <v>Ознакомиться</v>
      </c>
      <c r="W337" s="8" t="s">
        <v>57</v>
      </c>
      <c r="X337" s="6"/>
      <c r="Y337" s="6"/>
      <c r="Z337" s="6"/>
      <c r="AA337" s="6" t="s">
        <v>166</v>
      </c>
    </row>
    <row r="338" spans="1:27" s="4" customFormat="1" ht="51.95" customHeight="1">
      <c r="A338" s="5">
        <v>0</v>
      </c>
      <c r="B338" s="6" t="s">
        <v>2126</v>
      </c>
      <c r="C338" s="13">
        <v>1160</v>
      </c>
      <c r="D338" s="8" t="s">
        <v>2127</v>
      </c>
      <c r="E338" s="8" t="s">
        <v>2128</v>
      </c>
      <c r="F338" s="8" t="s">
        <v>2129</v>
      </c>
      <c r="G338" s="6" t="s">
        <v>95</v>
      </c>
      <c r="H338" s="6" t="s">
        <v>52</v>
      </c>
      <c r="I338" s="8"/>
      <c r="J338" s="9">
        <v>1</v>
      </c>
      <c r="K338" s="9">
        <v>240</v>
      </c>
      <c r="L338" s="9">
        <v>2024</v>
      </c>
      <c r="M338" s="8" t="s">
        <v>2130</v>
      </c>
      <c r="N338" s="8" t="s">
        <v>41</v>
      </c>
      <c r="O338" s="8" t="s">
        <v>42</v>
      </c>
      <c r="P338" s="6" t="s">
        <v>67</v>
      </c>
      <c r="Q338" s="8" t="s">
        <v>134</v>
      </c>
      <c r="R338" s="10" t="s">
        <v>1879</v>
      </c>
      <c r="S338" s="11"/>
      <c r="T338" s="6"/>
      <c r="U338" s="28" t="str">
        <f>HYPERLINK("https://media.infra-m.ru/2090/2090013/cover/2090013.jpg", "Обложка")</f>
        <v>Обложка</v>
      </c>
      <c r="V338" s="28" t="str">
        <f>HYPERLINK("https://znanium.com/catalog/product/2090013", "Ознакомиться")</f>
        <v>Ознакомиться</v>
      </c>
      <c r="W338" s="8"/>
      <c r="X338" s="6" t="s">
        <v>316</v>
      </c>
      <c r="Y338" s="6"/>
      <c r="Z338" s="6"/>
      <c r="AA338" s="6" t="s">
        <v>618</v>
      </c>
    </row>
    <row r="339" spans="1:27" s="4" customFormat="1" ht="42" customHeight="1">
      <c r="A339" s="5">
        <v>0</v>
      </c>
      <c r="B339" s="6" t="s">
        <v>2131</v>
      </c>
      <c r="C339" s="7">
        <v>760</v>
      </c>
      <c r="D339" s="8" t="s">
        <v>2132</v>
      </c>
      <c r="E339" s="8" t="s">
        <v>2133</v>
      </c>
      <c r="F339" s="8" t="s">
        <v>2104</v>
      </c>
      <c r="G339" s="6" t="s">
        <v>95</v>
      </c>
      <c r="H339" s="6" t="s">
        <v>52</v>
      </c>
      <c r="I339" s="8" t="s">
        <v>192</v>
      </c>
      <c r="J339" s="9">
        <v>1</v>
      </c>
      <c r="K339" s="9">
        <v>152</v>
      </c>
      <c r="L339" s="9">
        <v>2024</v>
      </c>
      <c r="M339" s="8" t="s">
        <v>2134</v>
      </c>
      <c r="N339" s="8" t="s">
        <v>41</v>
      </c>
      <c r="O339" s="8" t="s">
        <v>42</v>
      </c>
      <c r="P339" s="6" t="s">
        <v>67</v>
      </c>
      <c r="Q339" s="8" t="s">
        <v>194</v>
      </c>
      <c r="R339" s="10" t="s">
        <v>2135</v>
      </c>
      <c r="S339" s="11"/>
      <c r="T339" s="6"/>
      <c r="U339" s="28" t="str">
        <f>HYPERLINK("https://media.infra-m.ru/2082/2082008/cover/2082008.jpg", "Обложка")</f>
        <v>Обложка</v>
      </c>
      <c r="V339" s="28" t="str">
        <f>HYPERLINK("https://znanium.com/catalog/product/2082008", "Ознакомиться")</f>
        <v>Ознакомиться</v>
      </c>
      <c r="W339" s="8" t="s">
        <v>57</v>
      </c>
      <c r="X339" s="6" t="s">
        <v>2136</v>
      </c>
      <c r="Y339" s="6"/>
      <c r="Z339" s="6"/>
      <c r="AA339" s="6" t="s">
        <v>2137</v>
      </c>
    </row>
    <row r="340" spans="1:27" s="4" customFormat="1" ht="42" customHeight="1">
      <c r="A340" s="5">
        <v>0</v>
      </c>
      <c r="B340" s="6" t="s">
        <v>2138</v>
      </c>
      <c r="C340" s="7">
        <v>684.9</v>
      </c>
      <c r="D340" s="8" t="s">
        <v>2139</v>
      </c>
      <c r="E340" s="8" t="s">
        <v>2128</v>
      </c>
      <c r="F340" s="8" t="s">
        <v>2104</v>
      </c>
      <c r="G340" s="6" t="s">
        <v>95</v>
      </c>
      <c r="H340" s="6" t="s">
        <v>52</v>
      </c>
      <c r="I340" s="8" t="s">
        <v>192</v>
      </c>
      <c r="J340" s="9">
        <v>1</v>
      </c>
      <c r="K340" s="9">
        <v>152</v>
      </c>
      <c r="L340" s="9">
        <v>2023</v>
      </c>
      <c r="M340" s="8" t="s">
        <v>2140</v>
      </c>
      <c r="N340" s="8" t="s">
        <v>41</v>
      </c>
      <c r="O340" s="8" t="s">
        <v>42</v>
      </c>
      <c r="P340" s="6" t="s">
        <v>67</v>
      </c>
      <c r="Q340" s="8" t="s">
        <v>194</v>
      </c>
      <c r="R340" s="10" t="s">
        <v>2135</v>
      </c>
      <c r="S340" s="11"/>
      <c r="T340" s="6"/>
      <c r="U340" s="28" t="str">
        <f>HYPERLINK("https://media.infra-m.ru/1920/1920322/cover/1920322.jpg", "Обложка")</f>
        <v>Обложка</v>
      </c>
      <c r="V340" s="28" t="str">
        <f>HYPERLINK("https://znanium.com/catalog/product/2082008", "Ознакомиться")</f>
        <v>Ознакомиться</v>
      </c>
      <c r="W340" s="8" t="s">
        <v>57</v>
      </c>
      <c r="X340" s="6"/>
      <c r="Y340" s="6"/>
      <c r="Z340" s="6"/>
      <c r="AA340" s="6" t="s">
        <v>166</v>
      </c>
    </row>
    <row r="341" spans="1:27" s="4" customFormat="1" ht="51.95" customHeight="1">
      <c r="A341" s="5">
        <v>0</v>
      </c>
      <c r="B341" s="6" t="s">
        <v>2141</v>
      </c>
      <c r="C341" s="7">
        <v>930</v>
      </c>
      <c r="D341" s="8" t="s">
        <v>2142</v>
      </c>
      <c r="E341" s="8" t="s">
        <v>2128</v>
      </c>
      <c r="F341" s="8" t="s">
        <v>2143</v>
      </c>
      <c r="G341" s="6" t="s">
        <v>63</v>
      </c>
      <c r="H341" s="6" t="s">
        <v>38</v>
      </c>
      <c r="I341" s="8" t="s">
        <v>185</v>
      </c>
      <c r="J341" s="9">
        <v>1</v>
      </c>
      <c r="K341" s="9">
        <v>206</v>
      </c>
      <c r="L341" s="9">
        <v>2023</v>
      </c>
      <c r="M341" s="8" t="s">
        <v>2144</v>
      </c>
      <c r="N341" s="8" t="s">
        <v>41</v>
      </c>
      <c r="O341" s="8" t="s">
        <v>42</v>
      </c>
      <c r="P341" s="6" t="s">
        <v>54</v>
      </c>
      <c r="Q341" s="8" t="s">
        <v>860</v>
      </c>
      <c r="R341" s="10" t="s">
        <v>2125</v>
      </c>
      <c r="S341" s="11"/>
      <c r="T341" s="6"/>
      <c r="U341" s="28" t="str">
        <f>HYPERLINK("https://media.infra-m.ru/1911/1911113/cover/1911113.jpg", "Обложка")</f>
        <v>Обложка</v>
      </c>
      <c r="V341" s="28" t="str">
        <f>HYPERLINK("https://znanium.com/catalog/product/1911113", "Ознакомиться")</f>
        <v>Ознакомиться</v>
      </c>
      <c r="W341" s="8" t="s">
        <v>2145</v>
      </c>
      <c r="X341" s="6"/>
      <c r="Y341" s="6"/>
      <c r="Z341" s="6"/>
      <c r="AA341" s="6" t="s">
        <v>401</v>
      </c>
    </row>
    <row r="342" spans="1:27" s="4" customFormat="1" ht="51.95" customHeight="1">
      <c r="A342" s="5">
        <v>0</v>
      </c>
      <c r="B342" s="6" t="s">
        <v>2146</v>
      </c>
      <c r="C342" s="13">
        <v>1100</v>
      </c>
      <c r="D342" s="8" t="s">
        <v>2147</v>
      </c>
      <c r="E342" s="8" t="s">
        <v>2148</v>
      </c>
      <c r="F342" s="8" t="s">
        <v>2149</v>
      </c>
      <c r="G342" s="6" t="s">
        <v>63</v>
      </c>
      <c r="H342" s="6" t="s">
        <v>64</v>
      </c>
      <c r="I342" s="8" t="s">
        <v>217</v>
      </c>
      <c r="J342" s="9">
        <v>1</v>
      </c>
      <c r="K342" s="9">
        <v>239</v>
      </c>
      <c r="L342" s="9">
        <v>2023</v>
      </c>
      <c r="M342" s="8" t="s">
        <v>2150</v>
      </c>
      <c r="N342" s="8" t="s">
        <v>41</v>
      </c>
      <c r="O342" s="8" t="s">
        <v>97</v>
      </c>
      <c r="P342" s="6" t="s">
        <v>67</v>
      </c>
      <c r="Q342" s="8" t="s">
        <v>86</v>
      </c>
      <c r="R342" s="10" t="s">
        <v>482</v>
      </c>
      <c r="S342" s="11" t="s">
        <v>2151</v>
      </c>
      <c r="T342" s="6"/>
      <c r="U342" s="28" t="str">
        <f>HYPERLINK("https://media.infra-m.ru/2110/2110073/cover/2110073.jpg", "Обложка")</f>
        <v>Обложка</v>
      </c>
      <c r="V342" s="28" t="str">
        <f>HYPERLINK("https://znanium.com/catalog/product/1851517", "Ознакомиться")</f>
        <v>Ознакомиться</v>
      </c>
      <c r="W342" s="8" t="s">
        <v>110</v>
      </c>
      <c r="X342" s="6"/>
      <c r="Y342" s="6"/>
      <c r="Z342" s="6"/>
      <c r="AA342" s="6" t="s">
        <v>687</v>
      </c>
    </row>
    <row r="343" spans="1:27" s="4" customFormat="1" ht="51.95" customHeight="1">
      <c r="A343" s="5">
        <v>0</v>
      </c>
      <c r="B343" s="6" t="s">
        <v>2152</v>
      </c>
      <c r="C343" s="7">
        <v>729.9</v>
      </c>
      <c r="D343" s="8" t="s">
        <v>2153</v>
      </c>
      <c r="E343" s="8" t="s">
        <v>2154</v>
      </c>
      <c r="F343" s="8" t="s">
        <v>2155</v>
      </c>
      <c r="G343" s="6" t="s">
        <v>63</v>
      </c>
      <c r="H343" s="6" t="s">
        <v>52</v>
      </c>
      <c r="I343" s="8"/>
      <c r="J343" s="9">
        <v>1</v>
      </c>
      <c r="K343" s="9">
        <v>160</v>
      </c>
      <c r="L343" s="9">
        <v>2022</v>
      </c>
      <c r="M343" s="8" t="s">
        <v>2156</v>
      </c>
      <c r="N343" s="8" t="s">
        <v>41</v>
      </c>
      <c r="O343" s="8" t="s">
        <v>42</v>
      </c>
      <c r="P343" s="6" t="s">
        <v>54</v>
      </c>
      <c r="Q343" s="8" t="s">
        <v>55</v>
      </c>
      <c r="R343" s="10" t="s">
        <v>2157</v>
      </c>
      <c r="S343" s="11"/>
      <c r="T343" s="6"/>
      <c r="U343" s="28" t="str">
        <f>HYPERLINK("https://media.infra-m.ru/1831/1831635/cover/1831635.jpg", "Обложка")</f>
        <v>Обложка</v>
      </c>
      <c r="V343" s="28" t="str">
        <f>HYPERLINK("https://znanium.com/catalog/product/1831635", "Ознакомиться")</f>
        <v>Ознакомиться</v>
      </c>
      <c r="W343" s="8" t="s">
        <v>57</v>
      </c>
      <c r="X343" s="6"/>
      <c r="Y343" s="6"/>
      <c r="Z343" s="6"/>
      <c r="AA343" s="6" t="s">
        <v>299</v>
      </c>
    </row>
    <row r="344" spans="1:27" s="4" customFormat="1" ht="51.95" customHeight="1">
      <c r="A344" s="5">
        <v>0</v>
      </c>
      <c r="B344" s="6" t="s">
        <v>2158</v>
      </c>
      <c r="C344" s="7">
        <v>590</v>
      </c>
      <c r="D344" s="8" t="s">
        <v>2159</v>
      </c>
      <c r="E344" s="8" t="s">
        <v>2160</v>
      </c>
      <c r="F344" s="8" t="s">
        <v>2155</v>
      </c>
      <c r="G344" s="6" t="s">
        <v>95</v>
      </c>
      <c r="H344" s="6" t="s">
        <v>52</v>
      </c>
      <c r="I344" s="8" t="s">
        <v>192</v>
      </c>
      <c r="J344" s="9">
        <v>1</v>
      </c>
      <c r="K344" s="9">
        <v>160</v>
      </c>
      <c r="L344" s="9">
        <v>2019</v>
      </c>
      <c r="M344" s="8" t="s">
        <v>2161</v>
      </c>
      <c r="N344" s="8" t="s">
        <v>41</v>
      </c>
      <c r="O344" s="8" t="s">
        <v>42</v>
      </c>
      <c r="P344" s="6" t="s">
        <v>54</v>
      </c>
      <c r="Q344" s="8" t="s">
        <v>194</v>
      </c>
      <c r="R344" s="10" t="s">
        <v>2162</v>
      </c>
      <c r="S344" s="11"/>
      <c r="T344" s="6"/>
      <c r="U344" s="28" t="str">
        <f>HYPERLINK("https://media.infra-m.ru/1029/1029669/cover/1029669.jpg", "Обложка")</f>
        <v>Обложка</v>
      </c>
      <c r="V344" s="28" t="str">
        <f>HYPERLINK("https://znanium.com/catalog/product/1029669", "Ознакомиться")</f>
        <v>Ознакомиться</v>
      </c>
      <c r="W344" s="8" t="s">
        <v>57</v>
      </c>
      <c r="X344" s="6"/>
      <c r="Y344" s="6"/>
      <c r="Z344" s="6" t="s">
        <v>1073</v>
      </c>
      <c r="AA344" s="6" t="s">
        <v>166</v>
      </c>
    </row>
    <row r="345" spans="1:27" s="4" customFormat="1" ht="51.95" customHeight="1">
      <c r="A345" s="5">
        <v>0</v>
      </c>
      <c r="B345" s="6" t="s">
        <v>2163</v>
      </c>
      <c r="C345" s="7">
        <v>650</v>
      </c>
      <c r="D345" s="8" t="s">
        <v>2164</v>
      </c>
      <c r="E345" s="8" t="s">
        <v>2160</v>
      </c>
      <c r="F345" s="8" t="s">
        <v>2155</v>
      </c>
      <c r="G345" s="6" t="s">
        <v>63</v>
      </c>
      <c r="H345" s="6" t="s">
        <v>52</v>
      </c>
      <c r="I345" s="8"/>
      <c r="J345" s="9">
        <v>1</v>
      </c>
      <c r="K345" s="9">
        <v>160</v>
      </c>
      <c r="L345" s="9">
        <v>2021</v>
      </c>
      <c r="M345" s="8" t="s">
        <v>2165</v>
      </c>
      <c r="N345" s="8" t="s">
        <v>41</v>
      </c>
      <c r="O345" s="8" t="s">
        <v>42</v>
      </c>
      <c r="P345" s="6" t="s">
        <v>54</v>
      </c>
      <c r="Q345" s="8" t="s">
        <v>55</v>
      </c>
      <c r="R345" s="10" t="s">
        <v>2157</v>
      </c>
      <c r="S345" s="11"/>
      <c r="T345" s="6"/>
      <c r="U345" s="28" t="str">
        <f>HYPERLINK("https://media.infra-m.ru/1224/1224742/cover/1224742.jpg", "Обложка")</f>
        <v>Обложка</v>
      </c>
      <c r="V345" s="28" t="str">
        <f>HYPERLINK("https://znanium.com/catalog/product/1831635", "Ознакомиться")</f>
        <v>Ознакомиться</v>
      </c>
      <c r="W345" s="8" t="s">
        <v>57</v>
      </c>
      <c r="X345" s="6"/>
      <c r="Y345" s="6"/>
      <c r="Z345" s="6"/>
      <c r="AA345" s="6" t="s">
        <v>71</v>
      </c>
    </row>
    <row r="346" spans="1:27" s="4" customFormat="1" ht="51.95" customHeight="1">
      <c r="A346" s="5">
        <v>0</v>
      </c>
      <c r="B346" s="6" t="s">
        <v>2166</v>
      </c>
      <c r="C346" s="7">
        <v>810</v>
      </c>
      <c r="D346" s="8" t="s">
        <v>2167</v>
      </c>
      <c r="E346" s="8" t="s">
        <v>2168</v>
      </c>
      <c r="F346" s="8" t="s">
        <v>2169</v>
      </c>
      <c r="G346" s="6" t="s">
        <v>95</v>
      </c>
      <c r="H346" s="6" t="s">
        <v>64</v>
      </c>
      <c r="I346" s="8" t="s">
        <v>858</v>
      </c>
      <c r="J346" s="9">
        <v>1</v>
      </c>
      <c r="K346" s="9">
        <v>221</v>
      </c>
      <c r="L346" s="9">
        <v>2020</v>
      </c>
      <c r="M346" s="8" t="s">
        <v>2170</v>
      </c>
      <c r="N346" s="8" t="s">
        <v>41</v>
      </c>
      <c r="O346" s="8" t="s">
        <v>97</v>
      </c>
      <c r="P346" s="6" t="s">
        <v>54</v>
      </c>
      <c r="Q346" s="8" t="s">
        <v>860</v>
      </c>
      <c r="R346" s="10" t="s">
        <v>2171</v>
      </c>
      <c r="S346" s="11" t="s">
        <v>2172</v>
      </c>
      <c r="T346" s="6"/>
      <c r="U346" s="28" t="str">
        <f>HYPERLINK("https://media.infra-m.ru/1048/1048562/cover/1048562.jpg", "Обложка")</f>
        <v>Обложка</v>
      </c>
      <c r="V346" s="28" t="str">
        <f>HYPERLINK("https://znanium.com/catalog/product/1048562", "Ознакомиться")</f>
        <v>Ознакомиться</v>
      </c>
      <c r="W346" s="8" t="s">
        <v>1556</v>
      </c>
      <c r="X346" s="6"/>
      <c r="Y346" s="6"/>
      <c r="Z346" s="6"/>
      <c r="AA346" s="6" t="s">
        <v>401</v>
      </c>
    </row>
    <row r="347" spans="1:27" s="4" customFormat="1" ht="42" customHeight="1">
      <c r="A347" s="5">
        <v>0</v>
      </c>
      <c r="B347" s="6" t="s">
        <v>2173</v>
      </c>
      <c r="C347" s="7">
        <v>990</v>
      </c>
      <c r="D347" s="8" t="s">
        <v>2174</v>
      </c>
      <c r="E347" s="8" t="s">
        <v>2175</v>
      </c>
      <c r="F347" s="8" t="s">
        <v>2176</v>
      </c>
      <c r="G347" s="6" t="s">
        <v>37</v>
      </c>
      <c r="H347" s="6" t="s">
        <v>125</v>
      </c>
      <c r="I347" s="8" t="s">
        <v>1172</v>
      </c>
      <c r="J347" s="9">
        <v>1</v>
      </c>
      <c r="K347" s="9">
        <v>222</v>
      </c>
      <c r="L347" s="9">
        <v>2018</v>
      </c>
      <c r="M347" s="8" t="s">
        <v>2177</v>
      </c>
      <c r="N347" s="8" t="s">
        <v>41</v>
      </c>
      <c r="O347" s="8" t="s">
        <v>97</v>
      </c>
      <c r="P347" s="6" t="s">
        <v>43</v>
      </c>
      <c r="Q347" s="8" t="s">
        <v>44</v>
      </c>
      <c r="R347" s="10" t="s">
        <v>2178</v>
      </c>
      <c r="S347" s="11"/>
      <c r="T347" s="6"/>
      <c r="U347" s="28" t="str">
        <f>HYPERLINK("https://media.infra-m.ru/1947/1947353/cover/1947353.jpg", "Обложка")</f>
        <v>Обложка</v>
      </c>
      <c r="V347" s="28" t="str">
        <f>HYPERLINK("https://znanium.com/catalog/product/968739", "Ознакомиться")</f>
        <v>Ознакомиться</v>
      </c>
      <c r="W347" s="8" t="s">
        <v>892</v>
      </c>
      <c r="X347" s="6"/>
      <c r="Y347" s="6"/>
      <c r="Z347" s="6"/>
      <c r="AA347" s="6" t="s">
        <v>317</v>
      </c>
    </row>
    <row r="348" spans="1:27" s="4" customFormat="1" ht="51.95" customHeight="1">
      <c r="A348" s="5">
        <v>0</v>
      </c>
      <c r="B348" s="6" t="s">
        <v>2179</v>
      </c>
      <c r="C348" s="7">
        <v>410</v>
      </c>
      <c r="D348" s="8" t="s">
        <v>2180</v>
      </c>
      <c r="E348" s="8" t="s">
        <v>2181</v>
      </c>
      <c r="F348" s="8" t="s">
        <v>2182</v>
      </c>
      <c r="G348" s="6" t="s">
        <v>37</v>
      </c>
      <c r="H348" s="6" t="s">
        <v>64</v>
      </c>
      <c r="I348" s="8" t="s">
        <v>39</v>
      </c>
      <c r="J348" s="9">
        <v>1</v>
      </c>
      <c r="K348" s="9">
        <v>131</v>
      </c>
      <c r="L348" s="9">
        <v>2018</v>
      </c>
      <c r="M348" s="8" t="s">
        <v>2183</v>
      </c>
      <c r="N348" s="8" t="s">
        <v>41</v>
      </c>
      <c r="O348" s="8" t="s">
        <v>97</v>
      </c>
      <c r="P348" s="6" t="s">
        <v>43</v>
      </c>
      <c r="Q348" s="8" t="s">
        <v>44</v>
      </c>
      <c r="R348" s="10" t="s">
        <v>2184</v>
      </c>
      <c r="S348" s="11"/>
      <c r="T348" s="6"/>
      <c r="U348" s="28" t="str">
        <f>HYPERLINK("https://media.infra-m.ru/0924/0924969/cover/924969.jpg", "Обложка")</f>
        <v>Обложка</v>
      </c>
      <c r="V348" s="28" t="str">
        <f>HYPERLINK("https://znanium.com/catalog/product/924969", "Ознакомиться")</f>
        <v>Ознакомиться</v>
      </c>
      <c r="W348" s="8" t="s">
        <v>120</v>
      </c>
      <c r="X348" s="6"/>
      <c r="Y348" s="6"/>
      <c r="Z348" s="6"/>
      <c r="AA348" s="6" t="s">
        <v>78</v>
      </c>
    </row>
    <row r="349" spans="1:27" s="4" customFormat="1" ht="51.95" customHeight="1">
      <c r="A349" s="5">
        <v>0</v>
      </c>
      <c r="B349" s="6" t="s">
        <v>2185</v>
      </c>
      <c r="C349" s="7">
        <v>774.9</v>
      </c>
      <c r="D349" s="8" t="s">
        <v>2186</v>
      </c>
      <c r="E349" s="8" t="s">
        <v>2187</v>
      </c>
      <c r="F349" s="8" t="s">
        <v>2188</v>
      </c>
      <c r="G349" s="6" t="s">
        <v>37</v>
      </c>
      <c r="H349" s="6" t="s">
        <v>64</v>
      </c>
      <c r="I349" s="8" t="s">
        <v>39</v>
      </c>
      <c r="J349" s="9">
        <v>1</v>
      </c>
      <c r="K349" s="9">
        <v>190</v>
      </c>
      <c r="L349" s="9">
        <v>2022</v>
      </c>
      <c r="M349" s="8" t="s">
        <v>2189</v>
      </c>
      <c r="N349" s="8" t="s">
        <v>41</v>
      </c>
      <c r="O349" s="8" t="s">
        <v>97</v>
      </c>
      <c r="P349" s="6" t="s">
        <v>43</v>
      </c>
      <c r="Q349" s="8" t="s">
        <v>44</v>
      </c>
      <c r="R349" s="10" t="s">
        <v>2190</v>
      </c>
      <c r="S349" s="11"/>
      <c r="T349" s="6"/>
      <c r="U349" s="28" t="str">
        <f>HYPERLINK("https://media.infra-m.ru/1844/1844466/cover/1844466.jpg", "Обложка")</f>
        <v>Обложка</v>
      </c>
      <c r="V349" s="28" t="str">
        <f>HYPERLINK("https://znanium.com/catalog/product/1080130", "Ознакомиться")</f>
        <v>Ознакомиться</v>
      </c>
      <c r="W349" s="8" t="s">
        <v>2191</v>
      </c>
      <c r="X349" s="6"/>
      <c r="Y349" s="6"/>
      <c r="Z349" s="6"/>
      <c r="AA349" s="6" t="s">
        <v>401</v>
      </c>
    </row>
    <row r="350" spans="1:27" s="4" customFormat="1" ht="42" customHeight="1">
      <c r="A350" s="5">
        <v>0</v>
      </c>
      <c r="B350" s="6" t="s">
        <v>2192</v>
      </c>
      <c r="C350" s="13">
        <v>2000</v>
      </c>
      <c r="D350" s="8" t="s">
        <v>2193</v>
      </c>
      <c r="E350" s="8" t="s">
        <v>2194</v>
      </c>
      <c r="F350" s="8" t="s">
        <v>2195</v>
      </c>
      <c r="G350" s="6" t="s">
        <v>95</v>
      </c>
      <c r="H350" s="6" t="s">
        <v>64</v>
      </c>
      <c r="I350" s="8" t="s">
        <v>39</v>
      </c>
      <c r="J350" s="9">
        <v>1</v>
      </c>
      <c r="K350" s="9">
        <v>436</v>
      </c>
      <c r="L350" s="9">
        <v>2024</v>
      </c>
      <c r="M350" s="8" t="s">
        <v>2196</v>
      </c>
      <c r="N350" s="8" t="s">
        <v>41</v>
      </c>
      <c r="O350" s="8" t="s">
        <v>97</v>
      </c>
      <c r="P350" s="6" t="s">
        <v>43</v>
      </c>
      <c r="Q350" s="8" t="s">
        <v>44</v>
      </c>
      <c r="R350" s="10" t="s">
        <v>2197</v>
      </c>
      <c r="S350" s="11"/>
      <c r="T350" s="6"/>
      <c r="U350" s="28" t="str">
        <f>HYPERLINK("https://media.infra-m.ru/2109/2109537/cover/2109537.jpg", "Обложка")</f>
        <v>Обложка</v>
      </c>
      <c r="V350" s="28" t="str">
        <f>HYPERLINK("https://znanium.com/catalog/product/2109537", "Ознакомиться")</f>
        <v>Ознакомиться</v>
      </c>
      <c r="W350" s="8" t="s">
        <v>324</v>
      </c>
      <c r="X350" s="6"/>
      <c r="Y350" s="6"/>
      <c r="Z350" s="6"/>
      <c r="AA350" s="6" t="s">
        <v>112</v>
      </c>
    </row>
    <row r="351" spans="1:27" s="4" customFormat="1" ht="51.95" customHeight="1">
      <c r="A351" s="5">
        <v>0</v>
      </c>
      <c r="B351" s="6" t="s">
        <v>2198</v>
      </c>
      <c r="C351" s="7">
        <v>894</v>
      </c>
      <c r="D351" s="8" t="s">
        <v>2199</v>
      </c>
      <c r="E351" s="8" t="s">
        <v>2200</v>
      </c>
      <c r="F351" s="8" t="s">
        <v>2201</v>
      </c>
      <c r="G351" s="6" t="s">
        <v>63</v>
      </c>
      <c r="H351" s="6" t="s">
        <v>52</v>
      </c>
      <c r="I351" s="8"/>
      <c r="J351" s="9">
        <v>1</v>
      </c>
      <c r="K351" s="9">
        <v>192</v>
      </c>
      <c r="L351" s="9">
        <v>2023</v>
      </c>
      <c r="M351" s="8" t="s">
        <v>2202</v>
      </c>
      <c r="N351" s="8" t="s">
        <v>41</v>
      </c>
      <c r="O351" s="8" t="s">
        <v>42</v>
      </c>
      <c r="P351" s="6" t="s">
        <v>43</v>
      </c>
      <c r="Q351" s="8" t="s">
        <v>44</v>
      </c>
      <c r="R351" s="10" t="s">
        <v>2203</v>
      </c>
      <c r="S351" s="11"/>
      <c r="T351" s="6"/>
      <c r="U351" s="28" t="str">
        <f>HYPERLINK("https://media.infra-m.ru/2076/2076891/cover/2076891.jpg", "Обложка")</f>
        <v>Обложка</v>
      </c>
      <c r="V351" s="28" t="str">
        <f>HYPERLINK("https://znanium.com/catalog/product/2073365", "Ознакомиться")</f>
        <v>Ознакомиться</v>
      </c>
      <c r="W351" s="8" t="s">
        <v>1180</v>
      </c>
      <c r="X351" s="6"/>
      <c r="Y351" s="6"/>
      <c r="Z351" s="6"/>
      <c r="AA351" s="6" t="s">
        <v>58</v>
      </c>
    </row>
    <row r="352" spans="1:27" s="4" customFormat="1" ht="42" customHeight="1">
      <c r="A352" s="5">
        <v>0</v>
      </c>
      <c r="B352" s="6" t="s">
        <v>2204</v>
      </c>
      <c r="C352" s="7">
        <v>630</v>
      </c>
      <c r="D352" s="8" t="s">
        <v>2205</v>
      </c>
      <c r="E352" s="8" t="s">
        <v>2206</v>
      </c>
      <c r="F352" s="8" t="s">
        <v>2207</v>
      </c>
      <c r="G352" s="6" t="s">
        <v>95</v>
      </c>
      <c r="H352" s="6" t="s">
        <v>347</v>
      </c>
      <c r="I352" s="8"/>
      <c r="J352" s="9">
        <v>1</v>
      </c>
      <c r="K352" s="9">
        <v>160</v>
      </c>
      <c r="L352" s="9">
        <v>2021</v>
      </c>
      <c r="M352" s="8" t="s">
        <v>2208</v>
      </c>
      <c r="N352" s="8" t="s">
        <v>41</v>
      </c>
      <c r="O352" s="8" t="s">
        <v>97</v>
      </c>
      <c r="P352" s="6" t="s">
        <v>54</v>
      </c>
      <c r="Q352" s="8" t="s">
        <v>86</v>
      </c>
      <c r="R352" s="10" t="s">
        <v>555</v>
      </c>
      <c r="S352" s="11"/>
      <c r="T352" s="6"/>
      <c r="U352" s="28" t="str">
        <f>HYPERLINK("https://media.infra-m.ru/1819/1819399/cover/1819399.jpg", "Обложка")</f>
        <v>Обложка</v>
      </c>
      <c r="V352" s="12"/>
      <c r="W352" s="8" t="s">
        <v>816</v>
      </c>
      <c r="X352" s="6"/>
      <c r="Y352" s="6"/>
      <c r="Z352" s="6"/>
      <c r="AA352" s="6" t="s">
        <v>58</v>
      </c>
    </row>
    <row r="353" spans="1:27" s="4" customFormat="1" ht="51.95" customHeight="1">
      <c r="A353" s="5">
        <v>0</v>
      </c>
      <c r="B353" s="6" t="s">
        <v>2209</v>
      </c>
      <c r="C353" s="7">
        <v>804.9</v>
      </c>
      <c r="D353" s="8" t="s">
        <v>2210</v>
      </c>
      <c r="E353" s="8" t="s">
        <v>2211</v>
      </c>
      <c r="F353" s="8" t="s">
        <v>2212</v>
      </c>
      <c r="G353" s="6" t="s">
        <v>95</v>
      </c>
      <c r="H353" s="6" t="s">
        <v>64</v>
      </c>
      <c r="I353" s="8" t="s">
        <v>39</v>
      </c>
      <c r="J353" s="9">
        <v>1</v>
      </c>
      <c r="K353" s="9">
        <v>229</v>
      </c>
      <c r="L353" s="9">
        <v>2020</v>
      </c>
      <c r="M353" s="8" t="s">
        <v>2213</v>
      </c>
      <c r="N353" s="8" t="s">
        <v>41</v>
      </c>
      <c r="O353" s="8" t="s">
        <v>97</v>
      </c>
      <c r="P353" s="6" t="s">
        <v>43</v>
      </c>
      <c r="Q353" s="8" t="s">
        <v>44</v>
      </c>
      <c r="R353" s="10" t="s">
        <v>1210</v>
      </c>
      <c r="S353" s="11"/>
      <c r="T353" s="6"/>
      <c r="U353" s="28" t="str">
        <f>HYPERLINK("https://media.infra-m.ru/1047/1047180/cover/1047180.jpg", "Обложка")</f>
        <v>Обложка</v>
      </c>
      <c r="V353" s="28" t="str">
        <f>HYPERLINK("https://znanium.com/catalog/product/1047180", "Ознакомиться")</f>
        <v>Ознакомиться</v>
      </c>
      <c r="W353" s="8" t="s">
        <v>1291</v>
      </c>
      <c r="X353" s="6"/>
      <c r="Y353" s="6"/>
      <c r="Z353" s="6"/>
      <c r="AA353" s="6" t="s">
        <v>206</v>
      </c>
    </row>
    <row r="354" spans="1:27" s="4" customFormat="1" ht="51.95" customHeight="1">
      <c r="A354" s="5">
        <v>0</v>
      </c>
      <c r="B354" s="6" t="s">
        <v>2214</v>
      </c>
      <c r="C354" s="13">
        <v>1617</v>
      </c>
      <c r="D354" s="8" t="s">
        <v>2215</v>
      </c>
      <c r="E354" s="8" t="s">
        <v>2216</v>
      </c>
      <c r="F354" s="8" t="s">
        <v>2217</v>
      </c>
      <c r="G354" s="6" t="s">
        <v>37</v>
      </c>
      <c r="H354" s="6" t="s">
        <v>1432</v>
      </c>
      <c r="I354" s="8"/>
      <c r="J354" s="9">
        <v>1</v>
      </c>
      <c r="K354" s="9">
        <v>270</v>
      </c>
      <c r="L354" s="9">
        <v>2024</v>
      </c>
      <c r="M354" s="8" t="s">
        <v>2218</v>
      </c>
      <c r="N354" s="8" t="s">
        <v>41</v>
      </c>
      <c r="O354" s="8" t="s">
        <v>97</v>
      </c>
      <c r="P354" s="6" t="s">
        <v>54</v>
      </c>
      <c r="Q354" s="8" t="s">
        <v>86</v>
      </c>
      <c r="R354" s="10" t="s">
        <v>2219</v>
      </c>
      <c r="S354" s="11"/>
      <c r="T354" s="6"/>
      <c r="U354" s="28" t="str">
        <f>HYPERLINK("https://media.infra-m.ru/2073/2073485/cover/2073485.jpg", "Обложка")</f>
        <v>Обложка</v>
      </c>
      <c r="V354" s="28" t="str">
        <f>HYPERLINK("https://znanium.com/catalog/product/1855797", "Ознакомиться")</f>
        <v>Ознакомиться</v>
      </c>
      <c r="W354" s="8" t="s">
        <v>110</v>
      </c>
      <c r="X354" s="6"/>
      <c r="Y354" s="6"/>
      <c r="Z354" s="6"/>
      <c r="AA354" s="6" t="s">
        <v>2220</v>
      </c>
    </row>
    <row r="355" spans="1:27" s="4" customFormat="1" ht="51.95" customHeight="1">
      <c r="A355" s="5">
        <v>0</v>
      </c>
      <c r="B355" s="6" t="s">
        <v>2221</v>
      </c>
      <c r="C355" s="7">
        <v>625</v>
      </c>
      <c r="D355" s="8" t="s">
        <v>2222</v>
      </c>
      <c r="E355" s="8" t="s">
        <v>2223</v>
      </c>
      <c r="F355" s="8" t="s">
        <v>2217</v>
      </c>
      <c r="G355" s="6" t="s">
        <v>37</v>
      </c>
      <c r="H355" s="6" t="s">
        <v>1432</v>
      </c>
      <c r="I355" s="8"/>
      <c r="J355" s="9">
        <v>10</v>
      </c>
      <c r="K355" s="9">
        <v>270</v>
      </c>
      <c r="L355" s="9">
        <v>2018</v>
      </c>
      <c r="M355" s="8" t="s">
        <v>2224</v>
      </c>
      <c r="N355" s="8" t="s">
        <v>41</v>
      </c>
      <c r="O355" s="8" t="s">
        <v>97</v>
      </c>
      <c r="P355" s="6" t="s">
        <v>54</v>
      </c>
      <c r="Q355" s="8" t="s">
        <v>86</v>
      </c>
      <c r="R355" s="10" t="s">
        <v>2219</v>
      </c>
      <c r="S355" s="11"/>
      <c r="T355" s="6"/>
      <c r="U355" s="12"/>
      <c r="V355" s="28" t="str">
        <f>HYPERLINK("https://znanium.com/catalog/product/1855797", "Ознакомиться")</f>
        <v>Ознакомиться</v>
      </c>
      <c r="W355" s="8" t="s">
        <v>110</v>
      </c>
      <c r="X355" s="6"/>
      <c r="Y355" s="6"/>
      <c r="Z355" s="6"/>
      <c r="AA355" s="6" t="s">
        <v>152</v>
      </c>
    </row>
    <row r="356" spans="1:27" s="4" customFormat="1" ht="51.95" customHeight="1">
      <c r="A356" s="5">
        <v>0</v>
      </c>
      <c r="B356" s="6" t="s">
        <v>2225</v>
      </c>
      <c r="C356" s="13">
        <v>1294.9000000000001</v>
      </c>
      <c r="D356" s="8" t="s">
        <v>2226</v>
      </c>
      <c r="E356" s="8" t="s">
        <v>2227</v>
      </c>
      <c r="F356" s="8" t="s">
        <v>2228</v>
      </c>
      <c r="G356" s="6" t="s">
        <v>95</v>
      </c>
      <c r="H356" s="6" t="s">
        <v>329</v>
      </c>
      <c r="I356" s="8" t="s">
        <v>330</v>
      </c>
      <c r="J356" s="9">
        <v>1</v>
      </c>
      <c r="K356" s="9">
        <v>288</v>
      </c>
      <c r="L356" s="9">
        <v>2023</v>
      </c>
      <c r="M356" s="8" t="s">
        <v>2229</v>
      </c>
      <c r="N356" s="8" t="s">
        <v>41</v>
      </c>
      <c r="O356" s="8" t="s">
        <v>97</v>
      </c>
      <c r="P356" s="6" t="s">
        <v>54</v>
      </c>
      <c r="Q356" s="8" t="s">
        <v>194</v>
      </c>
      <c r="R356" s="10" t="s">
        <v>332</v>
      </c>
      <c r="S356" s="11" t="s">
        <v>2230</v>
      </c>
      <c r="T356" s="6"/>
      <c r="U356" s="28" t="str">
        <f>HYPERLINK("https://media.infra-m.ru/2015/2015302/cover/2015302.jpg", "Обложка")</f>
        <v>Обложка</v>
      </c>
      <c r="V356" s="28" t="str">
        <f>HYPERLINK("https://znanium.com/catalog/product/1836608", "Ознакомиться")</f>
        <v>Ознакомиться</v>
      </c>
      <c r="W356" s="8" t="s">
        <v>110</v>
      </c>
      <c r="X356" s="6"/>
      <c r="Y356" s="6"/>
      <c r="Z356" s="6"/>
      <c r="AA356" s="6" t="s">
        <v>632</v>
      </c>
    </row>
    <row r="357" spans="1:27" s="4" customFormat="1" ht="51.95" customHeight="1">
      <c r="A357" s="5">
        <v>0</v>
      </c>
      <c r="B357" s="6" t="s">
        <v>2231</v>
      </c>
      <c r="C357" s="13">
        <v>1444.9</v>
      </c>
      <c r="D357" s="8" t="s">
        <v>2232</v>
      </c>
      <c r="E357" s="8" t="s">
        <v>2233</v>
      </c>
      <c r="F357" s="8" t="s">
        <v>2234</v>
      </c>
      <c r="G357" s="6" t="s">
        <v>37</v>
      </c>
      <c r="H357" s="6" t="s">
        <v>38</v>
      </c>
      <c r="I357" s="8" t="s">
        <v>39</v>
      </c>
      <c r="J357" s="9">
        <v>1</v>
      </c>
      <c r="K357" s="9">
        <v>337</v>
      </c>
      <c r="L357" s="9">
        <v>2019</v>
      </c>
      <c r="M357" s="8" t="s">
        <v>2235</v>
      </c>
      <c r="N357" s="8" t="s">
        <v>41</v>
      </c>
      <c r="O357" s="8" t="s">
        <v>85</v>
      </c>
      <c r="P357" s="6" t="s">
        <v>43</v>
      </c>
      <c r="Q357" s="8" t="s">
        <v>44</v>
      </c>
      <c r="R357" s="10" t="s">
        <v>2236</v>
      </c>
      <c r="S357" s="11"/>
      <c r="T357" s="6"/>
      <c r="U357" s="28" t="str">
        <f>HYPERLINK("https://media.infra-m.ru/1010/1010096/cover/1010096.jpg", "Обложка")</f>
        <v>Обложка</v>
      </c>
      <c r="V357" s="28" t="str">
        <f>HYPERLINK("https://znanium.com/catalog/product/1010096", "Ознакомиться")</f>
        <v>Ознакомиться</v>
      </c>
      <c r="W357" s="8" t="s">
        <v>756</v>
      </c>
      <c r="X357" s="6"/>
      <c r="Y357" s="6"/>
      <c r="Z357" s="6"/>
      <c r="AA357" s="6" t="s">
        <v>47</v>
      </c>
    </row>
    <row r="358" spans="1:27" s="4" customFormat="1" ht="51.95" customHeight="1">
      <c r="A358" s="5">
        <v>0</v>
      </c>
      <c r="B358" s="6" t="s">
        <v>2237</v>
      </c>
      <c r="C358" s="7">
        <v>984</v>
      </c>
      <c r="D358" s="8" t="s">
        <v>2238</v>
      </c>
      <c r="E358" s="8" t="s">
        <v>2239</v>
      </c>
      <c r="F358" s="8" t="s">
        <v>415</v>
      </c>
      <c r="G358" s="6" t="s">
        <v>63</v>
      </c>
      <c r="H358" s="6" t="s">
        <v>64</v>
      </c>
      <c r="I358" s="8" t="s">
        <v>192</v>
      </c>
      <c r="J358" s="9">
        <v>1</v>
      </c>
      <c r="K358" s="9">
        <v>212</v>
      </c>
      <c r="L358" s="9">
        <v>2024</v>
      </c>
      <c r="M358" s="8" t="s">
        <v>2240</v>
      </c>
      <c r="N358" s="8" t="s">
        <v>41</v>
      </c>
      <c r="O358" s="8" t="s">
        <v>97</v>
      </c>
      <c r="P358" s="6" t="s">
        <v>67</v>
      </c>
      <c r="Q358" s="8" t="s">
        <v>194</v>
      </c>
      <c r="R358" s="10" t="s">
        <v>332</v>
      </c>
      <c r="S358" s="11" t="s">
        <v>2241</v>
      </c>
      <c r="T358" s="6"/>
      <c r="U358" s="28" t="str">
        <f>HYPERLINK("https://media.infra-m.ru/2118/2118075/cover/2118075.jpg", "Обложка")</f>
        <v>Обложка</v>
      </c>
      <c r="V358" s="28" t="str">
        <f>HYPERLINK("https://znanium.com/catalog/product/2104829", "Ознакомиться")</f>
        <v>Ознакомиться</v>
      </c>
      <c r="W358" s="8" t="s">
        <v>100</v>
      </c>
      <c r="X358" s="6"/>
      <c r="Y358" s="6"/>
      <c r="Z358" s="6"/>
      <c r="AA358" s="6" t="s">
        <v>401</v>
      </c>
    </row>
    <row r="359" spans="1:27" s="4" customFormat="1" ht="51.95" customHeight="1">
      <c r="A359" s="5">
        <v>0</v>
      </c>
      <c r="B359" s="6" t="s">
        <v>2242</v>
      </c>
      <c r="C359" s="13">
        <v>2224.9</v>
      </c>
      <c r="D359" s="8" t="s">
        <v>2243</v>
      </c>
      <c r="E359" s="8" t="s">
        <v>2244</v>
      </c>
      <c r="F359" s="8" t="s">
        <v>2245</v>
      </c>
      <c r="G359" s="6" t="s">
        <v>63</v>
      </c>
      <c r="H359" s="6" t="s">
        <v>329</v>
      </c>
      <c r="I359" s="8" t="s">
        <v>134</v>
      </c>
      <c r="J359" s="9">
        <v>1</v>
      </c>
      <c r="K359" s="9">
        <v>496</v>
      </c>
      <c r="L359" s="9">
        <v>2023</v>
      </c>
      <c r="M359" s="8" t="s">
        <v>2246</v>
      </c>
      <c r="N359" s="8" t="s">
        <v>41</v>
      </c>
      <c r="O359" s="8" t="s">
        <v>97</v>
      </c>
      <c r="P359" s="6" t="s">
        <v>67</v>
      </c>
      <c r="Q359" s="8" t="s">
        <v>194</v>
      </c>
      <c r="R359" s="10" t="s">
        <v>332</v>
      </c>
      <c r="S359" s="11" t="s">
        <v>2247</v>
      </c>
      <c r="T359" s="6"/>
      <c r="U359" s="28" t="str">
        <f>HYPERLINK("https://media.infra-m.ru/1981/1981669/cover/1981669.jpg", "Обложка")</f>
        <v>Обложка</v>
      </c>
      <c r="V359" s="28" t="str">
        <f>HYPERLINK("https://znanium.com/catalog/product/960015", "Ознакомиться")</f>
        <v>Ознакомиться</v>
      </c>
      <c r="W359" s="8" t="s">
        <v>110</v>
      </c>
      <c r="X359" s="6"/>
      <c r="Y359" s="6"/>
      <c r="Z359" s="6"/>
      <c r="AA359" s="6" t="s">
        <v>78</v>
      </c>
    </row>
    <row r="360" spans="1:27" s="4" customFormat="1" ht="51.95" customHeight="1">
      <c r="A360" s="5">
        <v>0</v>
      </c>
      <c r="B360" s="6" t="s">
        <v>2248</v>
      </c>
      <c r="C360" s="13">
        <v>2294</v>
      </c>
      <c r="D360" s="8" t="s">
        <v>2249</v>
      </c>
      <c r="E360" s="8" t="s">
        <v>2244</v>
      </c>
      <c r="F360" s="8" t="s">
        <v>2250</v>
      </c>
      <c r="G360" s="6" t="s">
        <v>95</v>
      </c>
      <c r="H360" s="6" t="s">
        <v>64</v>
      </c>
      <c r="I360" s="8" t="s">
        <v>185</v>
      </c>
      <c r="J360" s="9">
        <v>1</v>
      </c>
      <c r="K360" s="9">
        <v>632</v>
      </c>
      <c r="L360" s="9">
        <v>2024</v>
      </c>
      <c r="M360" s="8" t="s">
        <v>2251</v>
      </c>
      <c r="N360" s="8" t="s">
        <v>41</v>
      </c>
      <c r="O360" s="8" t="s">
        <v>97</v>
      </c>
      <c r="P360" s="6" t="s">
        <v>67</v>
      </c>
      <c r="Q360" s="8" t="s">
        <v>86</v>
      </c>
      <c r="R360" s="10" t="s">
        <v>98</v>
      </c>
      <c r="S360" s="11" t="s">
        <v>2252</v>
      </c>
      <c r="T360" s="6"/>
      <c r="U360" s="28" t="str">
        <f>HYPERLINK("https://media.infra-m.ru/2083/2083227/cover/2083227.jpg", "Обложка")</f>
        <v>Обложка</v>
      </c>
      <c r="V360" s="28" t="str">
        <f>HYPERLINK("https://znanium.com/catalog/product/920530", "Ознакомиться")</f>
        <v>Ознакомиться</v>
      </c>
      <c r="W360" s="8" t="s">
        <v>120</v>
      </c>
      <c r="X360" s="6"/>
      <c r="Y360" s="6"/>
      <c r="Z360" s="6"/>
      <c r="AA360" s="6" t="s">
        <v>251</v>
      </c>
    </row>
    <row r="361" spans="1:27" s="4" customFormat="1" ht="51.95" customHeight="1">
      <c r="A361" s="5">
        <v>0</v>
      </c>
      <c r="B361" s="6" t="s">
        <v>2253</v>
      </c>
      <c r="C361" s="13">
        <v>1804.9</v>
      </c>
      <c r="D361" s="8" t="s">
        <v>2254</v>
      </c>
      <c r="E361" s="8" t="s">
        <v>2255</v>
      </c>
      <c r="F361" s="8" t="s">
        <v>2256</v>
      </c>
      <c r="G361" s="6" t="s">
        <v>95</v>
      </c>
      <c r="H361" s="6" t="s">
        <v>64</v>
      </c>
      <c r="I361" s="8" t="s">
        <v>83</v>
      </c>
      <c r="J361" s="9">
        <v>1</v>
      </c>
      <c r="K361" s="9">
        <v>400</v>
      </c>
      <c r="L361" s="9">
        <v>2023</v>
      </c>
      <c r="M361" s="8" t="s">
        <v>2257</v>
      </c>
      <c r="N361" s="8" t="s">
        <v>41</v>
      </c>
      <c r="O361" s="8" t="s">
        <v>97</v>
      </c>
      <c r="P361" s="6" t="s">
        <v>67</v>
      </c>
      <c r="Q361" s="8" t="s">
        <v>86</v>
      </c>
      <c r="R361" s="10" t="s">
        <v>2258</v>
      </c>
      <c r="S361" s="11" t="s">
        <v>2259</v>
      </c>
      <c r="T361" s="6"/>
      <c r="U361" s="28" t="str">
        <f>HYPERLINK("https://media.infra-m.ru/1986/1986695/cover/1986695.jpg", "Обложка")</f>
        <v>Обложка</v>
      </c>
      <c r="V361" s="28" t="str">
        <f>HYPERLINK("https://znanium.com/catalog/product/1838388", "Ознакомиться")</f>
        <v>Ознакомиться</v>
      </c>
      <c r="W361" s="8" t="s">
        <v>120</v>
      </c>
      <c r="X361" s="6"/>
      <c r="Y361" s="6"/>
      <c r="Z361" s="6"/>
      <c r="AA361" s="6" t="s">
        <v>47</v>
      </c>
    </row>
    <row r="362" spans="1:27" s="4" customFormat="1" ht="42" customHeight="1">
      <c r="A362" s="5">
        <v>0</v>
      </c>
      <c r="B362" s="6" t="s">
        <v>2260</v>
      </c>
      <c r="C362" s="13">
        <v>1420</v>
      </c>
      <c r="D362" s="8" t="s">
        <v>2261</v>
      </c>
      <c r="E362" s="8" t="s">
        <v>2262</v>
      </c>
      <c r="F362" s="8" t="s">
        <v>1703</v>
      </c>
      <c r="G362" s="6" t="s">
        <v>95</v>
      </c>
      <c r="H362" s="6" t="s">
        <v>347</v>
      </c>
      <c r="I362" s="8"/>
      <c r="J362" s="9">
        <v>1</v>
      </c>
      <c r="K362" s="9">
        <v>392</v>
      </c>
      <c r="L362" s="9">
        <v>2021</v>
      </c>
      <c r="M362" s="8" t="s">
        <v>2263</v>
      </c>
      <c r="N362" s="8" t="s">
        <v>41</v>
      </c>
      <c r="O362" s="8" t="s">
        <v>97</v>
      </c>
      <c r="P362" s="6" t="s">
        <v>54</v>
      </c>
      <c r="Q362" s="8" t="s">
        <v>86</v>
      </c>
      <c r="R362" s="10" t="s">
        <v>2264</v>
      </c>
      <c r="S362" s="11"/>
      <c r="T362" s="6"/>
      <c r="U362" s="28" t="str">
        <f>HYPERLINK("https://media.infra-m.ru/1229/1229324/cover/1229324.jpg", "Обложка")</f>
        <v>Обложка</v>
      </c>
      <c r="V362" s="28" t="str">
        <f>HYPERLINK("https://znanium.com/catalog/product/1229324", "Ознакомиться")</f>
        <v>Ознакомиться</v>
      </c>
      <c r="W362" s="8" t="s">
        <v>1198</v>
      </c>
      <c r="X362" s="6"/>
      <c r="Y362" s="6"/>
      <c r="Z362" s="6"/>
      <c r="AA362" s="6" t="s">
        <v>58</v>
      </c>
    </row>
    <row r="363" spans="1:27" s="4" customFormat="1" ht="51.95" customHeight="1">
      <c r="A363" s="5">
        <v>0</v>
      </c>
      <c r="B363" s="6" t="s">
        <v>2265</v>
      </c>
      <c r="C363" s="7">
        <v>894.9</v>
      </c>
      <c r="D363" s="8" t="s">
        <v>2266</v>
      </c>
      <c r="E363" s="8" t="s">
        <v>2267</v>
      </c>
      <c r="F363" s="8" t="s">
        <v>415</v>
      </c>
      <c r="G363" s="6" t="s">
        <v>95</v>
      </c>
      <c r="H363" s="6" t="s">
        <v>64</v>
      </c>
      <c r="I363" s="8" t="s">
        <v>192</v>
      </c>
      <c r="J363" s="9">
        <v>1</v>
      </c>
      <c r="K363" s="9">
        <v>198</v>
      </c>
      <c r="L363" s="9">
        <v>2023</v>
      </c>
      <c r="M363" s="8" t="s">
        <v>2268</v>
      </c>
      <c r="N363" s="8" t="s">
        <v>41</v>
      </c>
      <c r="O363" s="8" t="s">
        <v>97</v>
      </c>
      <c r="P363" s="6" t="s">
        <v>67</v>
      </c>
      <c r="Q363" s="8" t="s">
        <v>194</v>
      </c>
      <c r="R363" s="10" t="s">
        <v>332</v>
      </c>
      <c r="S363" s="11" t="s">
        <v>2269</v>
      </c>
      <c r="T363" s="6"/>
      <c r="U363" s="28" t="str">
        <f>HYPERLINK("https://media.infra-m.ru/1913/1913647/cover/1913647.jpg", "Обложка")</f>
        <v>Обложка</v>
      </c>
      <c r="V363" s="28" t="str">
        <f>HYPERLINK("https://znanium.com/catalog/product/1018363", "Ознакомиться")</f>
        <v>Ознакомиться</v>
      </c>
      <c r="W363" s="8" t="s">
        <v>100</v>
      </c>
      <c r="X363" s="6"/>
      <c r="Y363" s="6"/>
      <c r="Z363" s="6"/>
      <c r="AA363" s="6" t="s">
        <v>58</v>
      </c>
    </row>
    <row r="364" spans="1:27" s="4" customFormat="1" ht="51.95" customHeight="1">
      <c r="A364" s="5">
        <v>0</v>
      </c>
      <c r="B364" s="6" t="s">
        <v>2270</v>
      </c>
      <c r="C364" s="7">
        <v>794.9</v>
      </c>
      <c r="D364" s="8" t="s">
        <v>2271</v>
      </c>
      <c r="E364" s="8" t="s">
        <v>2272</v>
      </c>
      <c r="F364" s="8" t="s">
        <v>2273</v>
      </c>
      <c r="G364" s="6" t="s">
        <v>95</v>
      </c>
      <c r="H364" s="6" t="s">
        <v>329</v>
      </c>
      <c r="I364" s="8" t="s">
        <v>185</v>
      </c>
      <c r="J364" s="9">
        <v>24</v>
      </c>
      <c r="K364" s="9">
        <v>208</v>
      </c>
      <c r="L364" s="9">
        <v>2022</v>
      </c>
      <c r="M364" s="8" t="s">
        <v>2274</v>
      </c>
      <c r="N364" s="8" t="s">
        <v>41</v>
      </c>
      <c r="O364" s="8" t="s">
        <v>97</v>
      </c>
      <c r="P364" s="6" t="s">
        <v>54</v>
      </c>
      <c r="Q364" s="8" t="s">
        <v>86</v>
      </c>
      <c r="R364" s="10" t="s">
        <v>98</v>
      </c>
      <c r="S364" s="11" t="s">
        <v>2275</v>
      </c>
      <c r="T364" s="6"/>
      <c r="U364" s="28" t="str">
        <f>HYPERLINK("https://media.infra-m.ru/1842/1842511/cover/1842511.jpg", "Обложка")</f>
        <v>Обложка</v>
      </c>
      <c r="V364" s="12"/>
      <c r="W364" s="8" t="s">
        <v>2276</v>
      </c>
      <c r="X364" s="6"/>
      <c r="Y364" s="6"/>
      <c r="Z364" s="6"/>
      <c r="AA364" s="6" t="s">
        <v>251</v>
      </c>
    </row>
    <row r="365" spans="1:27" s="4" customFormat="1" ht="51.95" customHeight="1">
      <c r="A365" s="5">
        <v>0</v>
      </c>
      <c r="B365" s="6" t="s">
        <v>2277</v>
      </c>
      <c r="C365" s="7">
        <v>944</v>
      </c>
      <c r="D365" s="8" t="s">
        <v>2278</v>
      </c>
      <c r="E365" s="8" t="s">
        <v>2272</v>
      </c>
      <c r="F365" s="8" t="s">
        <v>2279</v>
      </c>
      <c r="G365" s="6" t="s">
        <v>63</v>
      </c>
      <c r="H365" s="6" t="s">
        <v>329</v>
      </c>
      <c r="I365" s="8" t="s">
        <v>192</v>
      </c>
      <c r="J365" s="9">
        <v>1</v>
      </c>
      <c r="K365" s="9">
        <v>208</v>
      </c>
      <c r="L365" s="9">
        <v>2023</v>
      </c>
      <c r="M365" s="8" t="s">
        <v>2280</v>
      </c>
      <c r="N365" s="8" t="s">
        <v>41</v>
      </c>
      <c r="O365" s="8" t="s">
        <v>97</v>
      </c>
      <c r="P365" s="6" t="s">
        <v>54</v>
      </c>
      <c r="Q365" s="8" t="s">
        <v>194</v>
      </c>
      <c r="R365" s="10" t="s">
        <v>332</v>
      </c>
      <c r="S365" s="11" t="s">
        <v>2281</v>
      </c>
      <c r="T365" s="6"/>
      <c r="U365" s="28" t="str">
        <f>HYPERLINK("https://media.infra-m.ru/2021/2021473/cover/2021473.jpg", "Обложка")</f>
        <v>Обложка</v>
      </c>
      <c r="V365" s="28" t="str">
        <f>HYPERLINK("https://znanium.com/catalog/product/1031932", "Ознакомиться")</f>
        <v>Ознакомиться</v>
      </c>
      <c r="W365" s="8" t="s">
        <v>2276</v>
      </c>
      <c r="X365" s="6"/>
      <c r="Y365" s="6"/>
      <c r="Z365" s="6" t="s">
        <v>197</v>
      </c>
      <c r="AA365" s="6" t="s">
        <v>166</v>
      </c>
    </row>
    <row r="366" spans="1:27" s="4" customFormat="1" ht="42" customHeight="1">
      <c r="A366" s="5">
        <v>0</v>
      </c>
      <c r="B366" s="6" t="s">
        <v>2282</v>
      </c>
      <c r="C366" s="7">
        <v>794.9</v>
      </c>
      <c r="D366" s="8" t="s">
        <v>2283</v>
      </c>
      <c r="E366" s="8" t="s">
        <v>2284</v>
      </c>
      <c r="F366" s="8" t="s">
        <v>2285</v>
      </c>
      <c r="G366" s="6" t="s">
        <v>95</v>
      </c>
      <c r="H366" s="6" t="s">
        <v>52</v>
      </c>
      <c r="I366" s="8" t="s">
        <v>2286</v>
      </c>
      <c r="J366" s="9">
        <v>1</v>
      </c>
      <c r="K366" s="9">
        <v>176</v>
      </c>
      <c r="L366" s="9">
        <v>2023</v>
      </c>
      <c r="M366" s="8" t="s">
        <v>2287</v>
      </c>
      <c r="N366" s="8" t="s">
        <v>41</v>
      </c>
      <c r="O366" s="8" t="s">
        <v>42</v>
      </c>
      <c r="P366" s="6" t="s">
        <v>43</v>
      </c>
      <c r="Q366" s="8" t="s">
        <v>44</v>
      </c>
      <c r="R366" s="10" t="s">
        <v>2288</v>
      </c>
      <c r="S366" s="11"/>
      <c r="T366" s="6"/>
      <c r="U366" s="28" t="str">
        <f>HYPERLINK("https://media.infra-m.ru/1977/1977951/cover/1977951.jpg", "Обложка")</f>
        <v>Обложка</v>
      </c>
      <c r="V366" s="28" t="str">
        <f>HYPERLINK("https://znanium.com/catalog/product/923654", "Ознакомиться")</f>
        <v>Ознакомиться</v>
      </c>
      <c r="W366" s="8" t="s">
        <v>324</v>
      </c>
      <c r="X366" s="6"/>
      <c r="Y366" s="6"/>
      <c r="Z366" s="6"/>
      <c r="AA366" s="6" t="s">
        <v>127</v>
      </c>
    </row>
    <row r="367" spans="1:27" s="4" customFormat="1" ht="42" customHeight="1">
      <c r="A367" s="5">
        <v>0</v>
      </c>
      <c r="B367" s="6" t="s">
        <v>2289</v>
      </c>
      <c r="C367" s="13">
        <v>1520</v>
      </c>
      <c r="D367" s="8" t="s">
        <v>2290</v>
      </c>
      <c r="E367" s="8" t="s">
        <v>2291</v>
      </c>
      <c r="F367" s="8" t="s">
        <v>2292</v>
      </c>
      <c r="G367" s="6" t="s">
        <v>95</v>
      </c>
      <c r="H367" s="6" t="s">
        <v>64</v>
      </c>
      <c r="I367" s="8" t="s">
        <v>192</v>
      </c>
      <c r="J367" s="9">
        <v>1</v>
      </c>
      <c r="K367" s="9">
        <v>314</v>
      </c>
      <c r="L367" s="9">
        <v>2024</v>
      </c>
      <c r="M367" s="8" t="s">
        <v>2293</v>
      </c>
      <c r="N367" s="8" t="s">
        <v>41</v>
      </c>
      <c r="O367" s="8" t="s">
        <v>97</v>
      </c>
      <c r="P367" s="6" t="s">
        <v>67</v>
      </c>
      <c r="Q367" s="8" t="s">
        <v>194</v>
      </c>
      <c r="R367" s="10" t="s">
        <v>195</v>
      </c>
      <c r="S367" s="11"/>
      <c r="T367" s="6"/>
      <c r="U367" s="28" t="str">
        <f>HYPERLINK("https://media.infra-m.ru/1914/1914230/cover/1914230.jpg", "Обложка")</f>
        <v>Обложка</v>
      </c>
      <c r="V367" s="28" t="str">
        <f>HYPERLINK("https://znanium.com/catalog/product/1914230", "Ознакомиться")</f>
        <v>Ознакомиться</v>
      </c>
      <c r="W367" s="8" t="s">
        <v>120</v>
      </c>
      <c r="X367" s="6" t="s">
        <v>316</v>
      </c>
      <c r="Y367" s="6"/>
      <c r="Z367" s="6"/>
      <c r="AA367" s="6" t="s">
        <v>618</v>
      </c>
    </row>
    <row r="368" spans="1:27" s="4" customFormat="1" ht="51.95" customHeight="1">
      <c r="A368" s="5">
        <v>0</v>
      </c>
      <c r="B368" s="6" t="s">
        <v>2294</v>
      </c>
      <c r="C368" s="13">
        <v>1250</v>
      </c>
      <c r="D368" s="8" t="s">
        <v>2295</v>
      </c>
      <c r="E368" s="8" t="s">
        <v>2296</v>
      </c>
      <c r="F368" s="8" t="s">
        <v>155</v>
      </c>
      <c r="G368" s="6" t="s">
        <v>95</v>
      </c>
      <c r="H368" s="6" t="s">
        <v>64</v>
      </c>
      <c r="I368" s="8" t="s">
        <v>192</v>
      </c>
      <c r="J368" s="9">
        <v>1</v>
      </c>
      <c r="K368" s="9">
        <v>265</v>
      </c>
      <c r="L368" s="9">
        <v>2023</v>
      </c>
      <c r="M368" s="8" t="s">
        <v>2297</v>
      </c>
      <c r="N368" s="8" t="s">
        <v>41</v>
      </c>
      <c r="O368" s="8" t="s">
        <v>97</v>
      </c>
      <c r="P368" s="6" t="s">
        <v>67</v>
      </c>
      <c r="Q368" s="8" t="s">
        <v>194</v>
      </c>
      <c r="R368" s="10" t="s">
        <v>2298</v>
      </c>
      <c r="S368" s="11" t="s">
        <v>2299</v>
      </c>
      <c r="T368" s="6"/>
      <c r="U368" s="28" t="str">
        <f>HYPERLINK("https://media.infra-m.ru/1860/1860498/cover/1860498.jpg", "Обложка")</f>
        <v>Обложка</v>
      </c>
      <c r="V368" s="28" t="str">
        <f>HYPERLINK("https://znanium.com/catalog/product/1860498", "Ознакомиться")</f>
        <v>Ознакомиться</v>
      </c>
      <c r="W368" s="8" t="s">
        <v>159</v>
      </c>
      <c r="X368" s="6"/>
      <c r="Y368" s="6"/>
      <c r="Z368" s="6"/>
      <c r="AA368" s="6" t="s">
        <v>112</v>
      </c>
    </row>
    <row r="369" spans="1:27" s="4" customFormat="1" ht="51.95" customHeight="1">
      <c r="A369" s="5">
        <v>0</v>
      </c>
      <c r="B369" s="6" t="s">
        <v>2300</v>
      </c>
      <c r="C369" s="13">
        <v>1020</v>
      </c>
      <c r="D369" s="8" t="s">
        <v>2301</v>
      </c>
      <c r="E369" s="8" t="s">
        <v>2296</v>
      </c>
      <c r="F369" s="8" t="s">
        <v>2302</v>
      </c>
      <c r="G369" s="6" t="s">
        <v>95</v>
      </c>
      <c r="H369" s="6" t="s">
        <v>64</v>
      </c>
      <c r="I369" s="8" t="s">
        <v>192</v>
      </c>
      <c r="J369" s="9">
        <v>1</v>
      </c>
      <c r="K369" s="9">
        <v>220</v>
      </c>
      <c r="L369" s="9">
        <v>2023</v>
      </c>
      <c r="M369" s="8" t="s">
        <v>2303</v>
      </c>
      <c r="N369" s="8" t="s">
        <v>41</v>
      </c>
      <c r="O369" s="8" t="s">
        <v>97</v>
      </c>
      <c r="P369" s="6" t="s">
        <v>54</v>
      </c>
      <c r="Q369" s="8" t="s">
        <v>194</v>
      </c>
      <c r="R369" s="10" t="s">
        <v>195</v>
      </c>
      <c r="S369" s="11" t="s">
        <v>2304</v>
      </c>
      <c r="T369" s="6"/>
      <c r="U369" s="28" t="str">
        <f>HYPERLINK("https://media.infra-m.ru/1932/1932261/cover/1932261.jpg", "Обложка")</f>
        <v>Обложка</v>
      </c>
      <c r="V369" s="28" t="str">
        <f>HYPERLINK("https://znanium.com/catalog/product/1932261", "Ознакомиться")</f>
        <v>Ознакомиться</v>
      </c>
      <c r="W369" s="8" t="s">
        <v>1556</v>
      </c>
      <c r="X369" s="6" t="s">
        <v>1127</v>
      </c>
      <c r="Y369" s="6"/>
      <c r="Z369" s="6"/>
      <c r="AA369" s="6" t="s">
        <v>112</v>
      </c>
    </row>
    <row r="370" spans="1:27" s="4" customFormat="1" ht="51.95" customHeight="1">
      <c r="A370" s="5">
        <v>0</v>
      </c>
      <c r="B370" s="6" t="s">
        <v>2305</v>
      </c>
      <c r="C370" s="13">
        <v>1034</v>
      </c>
      <c r="D370" s="8" t="s">
        <v>2306</v>
      </c>
      <c r="E370" s="8" t="s">
        <v>2307</v>
      </c>
      <c r="F370" s="8" t="s">
        <v>866</v>
      </c>
      <c r="G370" s="6" t="s">
        <v>95</v>
      </c>
      <c r="H370" s="6" t="s">
        <v>329</v>
      </c>
      <c r="I370" s="8" t="s">
        <v>185</v>
      </c>
      <c r="J370" s="9">
        <v>1</v>
      </c>
      <c r="K370" s="9">
        <v>224</v>
      </c>
      <c r="L370" s="9">
        <v>2023</v>
      </c>
      <c r="M370" s="8" t="s">
        <v>2308</v>
      </c>
      <c r="N370" s="8" t="s">
        <v>41</v>
      </c>
      <c r="O370" s="8" t="s">
        <v>97</v>
      </c>
      <c r="P370" s="6" t="s">
        <v>54</v>
      </c>
      <c r="Q370" s="8" t="s">
        <v>86</v>
      </c>
      <c r="R370" s="10" t="s">
        <v>2309</v>
      </c>
      <c r="S370" s="11" t="s">
        <v>2310</v>
      </c>
      <c r="T370" s="6"/>
      <c r="U370" s="28" t="str">
        <f>HYPERLINK("https://media.infra-m.ru/2094/2094511/cover/2094511.jpg", "Обложка")</f>
        <v>Обложка</v>
      </c>
      <c r="V370" s="28" t="str">
        <f>HYPERLINK("https://znanium.com/catalog/product/1844328", "Ознакомиться")</f>
        <v>Ознакомиться</v>
      </c>
      <c r="W370" s="8"/>
      <c r="X370" s="6"/>
      <c r="Y370" s="6"/>
      <c r="Z370" s="6"/>
      <c r="AA370" s="6" t="s">
        <v>47</v>
      </c>
    </row>
    <row r="371" spans="1:27" s="4" customFormat="1" ht="51.95" customHeight="1">
      <c r="A371" s="5">
        <v>0</v>
      </c>
      <c r="B371" s="6" t="s">
        <v>2311</v>
      </c>
      <c r="C371" s="7">
        <v>820</v>
      </c>
      <c r="D371" s="8" t="s">
        <v>2312</v>
      </c>
      <c r="E371" s="8" t="s">
        <v>2313</v>
      </c>
      <c r="F371" s="8" t="s">
        <v>415</v>
      </c>
      <c r="G371" s="6" t="s">
        <v>63</v>
      </c>
      <c r="H371" s="6" t="s">
        <v>64</v>
      </c>
      <c r="I371" s="8" t="s">
        <v>192</v>
      </c>
      <c r="J371" s="9">
        <v>1</v>
      </c>
      <c r="K371" s="9">
        <v>183</v>
      </c>
      <c r="L371" s="9">
        <v>2023</v>
      </c>
      <c r="M371" s="8" t="s">
        <v>2314</v>
      </c>
      <c r="N371" s="8" t="s">
        <v>41</v>
      </c>
      <c r="O371" s="8" t="s">
        <v>97</v>
      </c>
      <c r="P371" s="6" t="s">
        <v>67</v>
      </c>
      <c r="Q371" s="8" t="s">
        <v>194</v>
      </c>
      <c r="R371" s="10" t="s">
        <v>332</v>
      </c>
      <c r="S371" s="11" t="s">
        <v>2315</v>
      </c>
      <c r="T371" s="6" t="s">
        <v>144</v>
      </c>
      <c r="U371" s="28" t="str">
        <f>HYPERLINK("https://media.infra-m.ru/1965/1965770/cover/1965770.jpg", "Обложка")</f>
        <v>Обложка</v>
      </c>
      <c r="V371" s="28" t="str">
        <f>HYPERLINK("https://znanium.com/catalog/product/1965770", "Ознакомиться")</f>
        <v>Ознакомиться</v>
      </c>
      <c r="W371" s="8" t="s">
        <v>100</v>
      </c>
      <c r="X371" s="6"/>
      <c r="Y371" s="6"/>
      <c r="Z371" s="6"/>
      <c r="AA371" s="6" t="s">
        <v>401</v>
      </c>
    </row>
    <row r="372" spans="1:27" s="4" customFormat="1" ht="51.95" customHeight="1">
      <c r="A372" s="5">
        <v>0</v>
      </c>
      <c r="B372" s="6" t="s">
        <v>2316</v>
      </c>
      <c r="C372" s="7">
        <v>720</v>
      </c>
      <c r="D372" s="8" t="s">
        <v>2317</v>
      </c>
      <c r="E372" s="8" t="s">
        <v>2318</v>
      </c>
      <c r="F372" s="8" t="s">
        <v>2319</v>
      </c>
      <c r="G372" s="6" t="s">
        <v>37</v>
      </c>
      <c r="H372" s="6" t="s">
        <v>357</v>
      </c>
      <c r="I372" s="8" t="s">
        <v>330</v>
      </c>
      <c r="J372" s="9">
        <v>1</v>
      </c>
      <c r="K372" s="9">
        <v>216</v>
      </c>
      <c r="L372" s="9">
        <v>2019</v>
      </c>
      <c r="M372" s="8" t="s">
        <v>2320</v>
      </c>
      <c r="N372" s="8" t="s">
        <v>41</v>
      </c>
      <c r="O372" s="8" t="s">
        <v>97</v>
      </c>
      <c r="P372" s="6" t="s">
        <v>54</v>
      </c>
      <c r="Q372" s="8" t="s">
        <v>194</v>
      </c>
      <c r="R372" s="10" t="s">
        <v>332</v>
      </c>
      <c r="S372" s="11" t="s">
        <v>2321</v>
      </c>
      <c r="T372" s="6"/>
      <c r="U372" s="28" t="str">
        <f>HYPERLINK("https://media.infra-m.ru/1007/1007646/cover/1007646.jpg", "Обложка")</f>
        <v>Обложка</v>
      </c>
      <c r="V372" s="28" t="str">
        <f>HYPERLINK("https://znanium.com/catalog/product/1007646", "Ознакомиться")</f>
        <v>Ознакомиться</v>
      </c>
      <c r="W372" s="8" t="s">
        <v>110</v>
      </c>
      <c r="X372" s="6"/>
      <c r="Y372" s="6"/>
      <c r="Z372" s="6"/>
      <c r="AA372" s="6" t="s">
        <v>180</v>
      </c>
    </row>
    <row r="373" spans="1:27" s="4" customFormat="1" ht="51.95" customHeight="1">
      <c r="A373" s="5">
        <v>0</v>
      </c>
      <c r="B373" s="6" t="s">
        <v>2322</v>
      </c>
      <c r="C373" s="13">
        <v>1054.9000000000001</v>
      </c>
      <c r="D373" s="8" t="s">
        <v>2323</v>
      </c>
      <c r="E373" s="8" t="s">
        <v>2324</v>
      </c>
      <c r="F373" s="8" t="s">
        <v>2325</v>
      </c>
      <c r="G373" s="6" t="s">
        <v>95</v>
      </c>
      <c r="H373" s="6" t="s">
        <v>357</v>
      </c>
      <c r="I373" s="8" t="s">
        <v>330</v>
      </c>
      <c r="J373" s="9">
        <v>1</v>
      </c>
      <c r="K373" s="9">
        <v>286</v>
      </c>
      <c r="L373" s="9">
        <v>2022</v>
      </c>
      <c r="M373" s="8" t="s">
        <v>2326</v>
      </c>
      <c r="N373" s="8" t="s">
        <v>41</v>
      </c>
      <c r="O373" s="8" t="s">
        <v>97</v>
      </c>
      <c r="P373" s="6" t="s">
        <v>67</v>
      </c>
      <c r="Q373" s="8" t="s">
        <v>194</v>
      </c>
      <c r="R373" s="10" t="s">
        <v>332</v>
      </c>
      <c r="S373" s="11" t="s">
        <v>2327</v>
      </c>
      <c r="T373" s="6"/>
      <c r="U373" s="28" t="str">
        <f>HYPERLINK("https://media.infra-m.ru/1710/1710066/cover/1710066.jpg", "Обложка")</f>
        <v>Обложка</v>
      </c>
      <c r="V373" s="12"/>
      <c r="W373" s="8" t="s">
        <v>120</v>
      </c>
      <c r="X373" s="6"/>
      <c r="Y373" s="6"/>
      <c r="Z373" s="6"/>
      <c r="AA373" s="6" t="s">
        <v>431</v>
      </c>
    </row>
    <row r="374" spans="1:27" s="4" customFormat="1" ht="51.95" customHeight="1">
      <c r="A374" s="5">
        <v>0</v>
      </c>
      <c r="B374" s="6" t="s">
        <v>2328</v>
      </c>
      <c r="C374" s="13">
        <v>1324</v>
      </c>
      <c r="D374" s="8" t="s">
        <v>2329</v>
      </c>
      <c r="E374" s="8" t="s">
        <v>2324</v>
      </c>
      <c r="F374" s="8" t="s">
        <v>363</v>
      </c>
      <c r="G374" s="6" t="s">
        <v>63</v>
      </c>
      <c r="H374" s="6" t="s">
        <v>329</v>
      </c>
      <c r="I374" s="8" t="s">
        <v>330</v>
      </c>
      <c r="J374" s="9">
        <v>1</v>
      </c>
      <c r="K374" s="9">
        <v>288</v>
      </c>
      <c r="L374" s="9">
        <v>2023</v>
      </c>
      <c r="M374" s="8" t="s">
        <v>2330</v>
      </c>
      <c r="N374" s="8" t="s">
        <v>41</v>
      </c>
      <c r="O374" s="8" t="s">
        <v>97</v>
      </c>
      <c r="P374" s="6" t="s">
        <v>67</v>
      </c>
      <c r="Q374" s="8" t="s">
        <v>194</v>
      </c>
      <c r="R374" s="10" t="s">
        <v>332</v>
      </c>
      <c r="S374" s="11" t="s">
        <v>333</v>
      </c>
      <c r="T374" s="6"/>
      <c r="U374" s="28" t="str">
        <f>HYPERLINK("https://media.infra-m.ru/2050/2050519/cover/2050519.jpg", "Обложка")</f>
        <v>Обложка</v>
      </c>
      <c r="V374" s="28" t="str">
        <f>HYPERLINK("https://znanium.com/catalog/product/1055101", "Ознакомиться")</f>
        <v>Ознакомиться</v>
      </c>
      <c r="W374" s="8" t="s">
        <v>110</v>
      </c>
      <c r="X374" s="6"/>
      <c r="Y374" s="6"/>
      <c r="Z374" s="6"/>
      <c r="AA374" s="6" t="s">
        <v>1894</v>
      </c>
    </row>
    <row r="375" spans="1:27" s="4" customFormat="1" ht="42" customHeight="1">
      <c r="A375" s="5">
        <v>0</v>
      </c>
      <c r="B375" s="6" t="s">
        <v>2331</v>
      </c>
      <c r="C375" s="7">
        <v>580</v>
      </c>
      <c r="D375" s="8" t="s">
        <v>2332</v>
      </c>
      <c r="E375" s="8" t="s">
        <v>2324</v>
      </c>
      <c r="F375" s="8" t="s">
        <v>2333</v>
      </c>
      <c r="G375" s="6" t="s">
        <v>37</v>
      </c>
      <c r="H375" s="6" t="s">
        <v>347</v>
      </c>
      <c r="I375" s="8"/>
      <c r="J375" s="9">
        <v>1</v>
      </c>
      <c r="K375" s="9">
        <v>124</v>
      </c>
      <c r="L375" s="9">
        <v>2022</v>
      </c>
      <c r="M375" s="8" t="s">
        <v>2334</v>
      </c>
      <c r="N375" s="8" t="s">
        <v>41</v>
      </c>
      <c r="O375" s="8" t="s">
        <v>97</v>
      </c>
      <c r="P375" s="6" t="s">
        <v>54</v>
      </c>
      <c r="Q375" s="8" t="s">
        <v>86</v>
      </c>
      <c r="R375" s="10" t="s">
        <v>555</v>
      </c>
      <c r="S375" s="11"/>
      <c r="T375" s="6"/>
      <c r="U375" s="28" t="str">
        <f>HYPERLINK("https://media.infra-m.ru/1844/1844831/cover/1844831.jpg", "Обложка")</f>
        <v>Обложка</v>
      </c>
      <c r="V375" s="28" t="str">
        <f>HYPERLINK("https://znanium.com/catalog/product/1844831", "Ознакомиться")</f>
        <v>Ознакомиться</v>
      </c>
      <c r="W375" s="8" t="s">
        <v>120</v>
      </c>
      <c r="X375" s="6"/>
      <c r="Y375" s="6"/>
      <c r="Z375" s="6"/>
      <c r="AA375" s="6" t="s">
        <v>441</v>
      </c>
    </row>
    <row r="376" spans="1:27" s="4" customFormat="1" ht="44.1" customHeight="1">
      <c r="A376" s="5">
        <v>0</v>
      </c>
      <c r="B376" s="6" t="s">
        <v>2335</v>
      </c>
      <c r="C376" s="13">
        <v>1044.9000000000001</v>
      </c>
      <c r="D376" s="8" t="s">
        <v>2336</v>
      </c>
      <c r="E376" s="8" t="s">
        <v>2324</v>
      </c>
      <c r="F376" s="8" t="s">
        <v>2337</v>
      </c>
      <c r="G376" s="6" t="s">
        <v>37</v>
      </c>
      <c r="H376" s="6" t="s">
        <v>38</v>
      </c>
      <c r="I376" s="8" t="s">
        <v>83</v>
      </c>
      <c r="J376" s="9">
        <v>1</v>
      </c>
      <c r="K376" s="9">
        <v>274</v>
      </c>
      <c r="L376" s="9">
        <v>2022</v>
      </c>
      <c r="M376" s="8" t="s">
        <v>2338</v>
      </c>
      <c r="N376" s="8" t="s">
        <v>41</v>
      </c>
      <c r="O376" s="8" t="s">
        <v>97</v>
      </c>
      <c r="P376" s="6" t="s">
        <v>54</v>
      </c>
      <c r="Q376" s="8" t="s">
        <v>86</v>
      </c>
      <c r="R376" s="10" t="s">
        <v>323</v>
      </c>
      <c r="S376" s="11"/>
      <c r="T376" s="6"/>
      <c r="U376" s="28" t="str">
        <f>HYPERLINK("https://media.infra-m.ru/1851/1851441/cover/1851441.jpg", "Обложка")</f>
        <v>Обложка</v>
      </c>
      <c r="V376" s="28" t="str">
        <f>HYPERLINK("https://znanium.com/catalog/product/620882", "Ознакомиться")</f>
        <v>Ознакомиться</v>
      </c>
      <c r="W376" s="8" t="s">
        <v>1085</v>
      </c>
      <c r="X376" s="6"/>
      <c r="Y376" s="6"/>
      <c r="Z376" s="6"/>
      <c r="AA376" s="6" t="s">
        <v>493</v>
      </c>
    </row>
    <row r="377" spans="1:27" s="4" customFormat="1" ht="42" customHeight="1">
      <c r="A377" s="5">
        <v>0</v>
      </c>
      <c r="B377" s="6" t="s">
        <v>2339</v>
      </c>
      <c r="C377" s="13">
        <v>1224.9000000000001</v>
      </c>
      <c r="D377" s="8" t="s">
        <v>2340</v>
      </c>
      <c r="E377" s="8" t="s">
        <v>2341</v>
      </c>
      <c r="F377" s="8" t="s">
        <v>2342</v>
      </c>
      <c r="G377" s="6" t="s">
        <v>95</v>
      </c>
      <c r="H377" s="6" t="s">
        <v>329</v>
      </c>
      <c r="I377" s="8" t="s">
        <v>185</v>
      </c>
      <c r="J377" s="9">
        <v>2</v>
      </c>
      <c r="K377" s="9">
        <v>272</v>
      </c>
      <c r="L377" s="9">
        <v>2023</v>
      </c>
      <c r="M377" s="8" t="s">
        <v>2343</v>
      </c>
      <c r="N377" s="8" t="s">
        <v>41</v>
      </c>
      <c r="O377" s="8" t="s">
        <v>97</v>
      </c>
      <c r="P377" s="6" t="s">
        <v>54</v>
      </c>
      <c r="Q377" s="8" t="s">
        <v>86</v>
      </c>
      <c r="R377" s="10" t="s">
        <v>555</v>
      </c>
      <c r="S377" s="11"/>
      <c r="T377" s="6"/>
      <c r="U377" s="28" t="str">
        <f>HYPERLINK("https://media.infra-m.ru/1981/1981727/cover/1981727.jpg", "Обложка")</f>
        <v>Обложка</v>
      </c>
      <c r="V377" s="28" t="str">
        <f>HYPERLINK("https://znanium.com/catalog/product/1860905", "Ознакомиться")</f>
        <v>Ознакомиться</v>
      </c>
      <c r="W377" s="8" t="s">
        <v>2276</v>
      </c>
      <c r="X377" s="6"/>
      <c r="Y377" s="6"/>
      <c r="Z377" s="6"/>
      <c r="AA377" s="6" t="s">
        <v>47</v>
      </c>
    </row>
    <row r="378" spans="1:27" s="4" customFormat="1" ht="51.95" customHeight="1">
      <c r="A378" s="5">
        <v>0</v>
      </c>
      <c r="B378" s="6" t="s">
        <v>2344</v>
      </c>
      <c r="C378" s="13">
        <v>1994</v>
      </c>
      <c r="D378" s="8" t="s">
        <v>2345</v>
      </c>
      <c r="E378" s="8" t="s">
        <v>2341</v>
      </c>
      <c r="F378" s="8" t="s">
        <v>2346</v>
      </c>
      <c r="G378" s="6" t="s">
        <v>95</v>
      </c>
      <c r="H378" s="6" t="s">
        <v>347</v>
      </c>
      <c r="I378" s="8" t="s">
        <v>348</v>
      </c>
      <c r="J378" s="9">
        <v>1</v>
      </c>
      <c r="K378" s="9">
        <v>446</v>
      </c>
      <c r="L378" s="9">
        <v>2024</v>
      </c>
      <c r="M378" s="8" t="s">
        <v>2347</v>
      </c>
      <c r="N378" s="8" t="s">
        <v>41</v>
      </c>
      <c r="O378" s="8" t="s">
        <v>97</v>
      </c>
      <c r="P378" s="6" t="s">
        <v>54</v>
      </c>
      <c r="Q378" s="8" t="s">
        <v>194</v>
      </c>
      <c r="R378" s="10" t="s">
        <v>2348</v>
      </c>
      <c r="S378" s="11" t="s">
        <v>351</v>
      </c>
      <c r="T378" s="6"/>
      <c r="U378" s="28" t="str">
        <f>HYPERLINK("https://media.infra-m.ru/2056/2056803/cover/2056803.jpg", "Обложка")</f>
        <v>Обложка</v>
      </c>
      <c r="V378" s="28" t="str">
        <f>HYPERLINK("https://znanium.com/catalog/product/1834708", "Ознакомиться")</f>
        <v>Ознакомиться</v>
      </c>
      <c r="W378" s="8" t="s">
        <v>352</v>
      </c>
      <c r="X378" s="6"/>
      <c r="Y378" s="6"/>
      <c r="Z378" s="6"/>
      <c r="AA378" s="6" t="s">
        <v>2349</v>
      </c>
    </row>
    <row r="379" spans="1:27" s="4" customFormat="1" ht="44.1" customHeight="1">
      <c r="A379" s="5">
        <v>0</v>
      </c>
      <c r="B379" s="6" t="s">
        <v>2350</v>
      </c>
      <c r="C379" s="7">
        <v>734.9</v>
      </c>
      <c r="D379" s="8" t="s">
        <v>2351</v>
      </c>
      <c r="E379" s="8" t="s">
        <v>2341</v>
      </c>
      <c r="F379" s="8" t="s">
        <v>2337</v>
      </c>
      <c r="G379" s="6" t="s">
        <v>37</v>
      </c>
      <c r="H379" s="6" t="s">
        <v>38</v>
      </c>
      <c r="I379" s="8" t="s">
        <v>83</v>
      </c>
      <c r="J379" s="9">
        <v>30</v>
      </c>
      <c r="K379" s="9">
        <v>274</v>
      </c>
      <c r="L379" s="9">
        <v>2017</v>
      </c>
      <c r="M379" s="8" t="s">
        <v>2352</v>
      </c>
      <c r="N379" s="8" t="s">
        <v>41</v>
      </c>
      <c r="O379" s="8" t="s">
        <v>97</v>
      </c>
      <c r="P379" s="6" t="s">
        <v>54</v>
      </c>
      <c r="Q379" s="8" t="s">
        <v>86</v>
      </c>
      <c r="R379" s="10" t="s">
        <v>323</v>
      </c>
      <c r="S379" s="11"/>
      <c r="T379" s="6" t="s">
        <v>144</v>
      </c>
      <c r="U379" s="28" t="str">
        <f>HYPERLINK("https://media.infra-m.ru/0620/0620882/cover/620882.jpg", "Обложка")</f>
        <v>Обложка</v>
      </c>
      <c r="V379" s="28" t="str">
        <f>HYPERLINK("https://znanium.com/catalog/product/620882", "Ознакомиться")</f>
        <v>Ознакомиться</v>
      </c>
      <c r="W379" s="8" t="s">
        <v>1085</v>
      </c>
      <c r="X379" s="6"/>
      <c r="Y379" s="6"/>
      <c r="Z379" s="6"/>
      <c r="AA379" s="6" t="s">
        <v>90</v>
      </c>
    </row>
    <row r="380" spans="1:27" s="4" customFormat="1" ht="51.95" customHeight="1">
      <c r="A380" s="5">
        <v>0</v>
      </c>
      <c r="B380" s="6" t="s">
        <v>2353</v>
      </c>
      <c r="C380" s="7">
        <v>684.9</v>
      </c>
      <c r="D380" s="8" t="s">
        <v>2354</v>
      </c>
      <c r="E380" s="8" t="s">
        <v>2355</v>
      </c>
      <c r="F380" s="8" t="s">
        <v>2356</v>
      </c>
      <c r="G380" s="6" t="s">
        <v>26</v>
      </c>
      <c r="H380" s="6" t="s">
        <v>347</v>
      </c>
      <c r="I380" s="8"/>
      <c r="J380" s="9">
        <v>1</v>
      </c>
      <c r="K380" s="9">
        <v>152</v>
      </c>
      <c r="L380" s="9">
        <v>2023</v>
      </c>
      <c r="M380" s="8" t="s">
        <v>2357</v>
      </c>
      <c r="N380" s="8" t="s">
        <v>41</v>
      </c>
      <c r="O380" s="8" t="s">
        <v>97</v>
      </c>
      <c r="P380" s="6" t="s">
        <v>43</v>
      </c>
      <c r="Q380" s="8" t="s">
        <v>86</v>
      </c>
      <c r="R380" s="10" t="s">
        <v>1210</v>
      </c>
      <c r="S380" s="11"/>
      <c r="T380" s="6"/>
      <c r="U380" s="28" t="str">
        <f>HYPERLINK("https://media.infra-m.ru/1998/1998767/cover/1998767.jpg", "Обложка")</f>
        <v>Обложка</v>
      </c>
      <c r="V380" s="28" t="str">
        <f>HYPERLINK("https://znanium.com/catalog/product/504916", "Ознакомиться")</f>
        <v>Ознакомиться</v>
      </c>
      <c r="W380" s="8" t="s">
        <v>1666</v>
      </c>
      <c r="X380" s="6"/>
      <c r="Y380" s="6"/>
      <c r="Z380" s="6"/>
      <c r="AA380" s="6" t="s">
        <v>317</v>
      </c>
    </row>
    <row r="381" spans="1:27" s="4" customFormat="1" ht="51.95" customHeight="1">
      <c r="A381" s="5">
        <v>0</v>
      </c>
      <c r="B381" s="6" t="s">
        <v>2358</v>
      </c>
      <c r="C381" s="13">
        <v>1314.9</v>
      </c>
      <c r="D381" s="8" t="s">
        <v>2359</v>
      </c>
      <c r="E381" s="8" t="s">
        <v>2360</v>
      </c>
      <c r="F381" s="8" t="s">
        <v>614</v>
      </c>
      <c r="G381" s="6" t="s">
        <v>95</v>
      </c>
      <c r="H381" s="6" t="s">
        <v>64</v>
      </c>
      <c r="I381" s="8" t="s">
        <v>83</v>
      </c>
      <c r="J381" s="9">
        <v>1</v>
      </c>
      <c r="K381" s="9">
        <v>292</v>
      </c>
      <c r="L381" s="9">
        <v>2023</v>
      </c>
      <c r="M381" s="8" t="s">
        <v>2361</v>
      </c>
      <c r="N381" s="8" t="s">
        <v>41</v>
      </c>
      <c r="O381" s="8" t="s">
        <v>97</v>
      </c>
      <c r="P381" s="6" t="s">
        <v>67</v>
      </c>
      <c r="Q381" s="8" t="s">
        <v>86</v>
      </c>
      <c r="R381" s="10" t="s">
        <v>555</v>
      </c>
      <c r="S381" s="11" t="s">
        <v>2362</v>
      </c>
      <c r="T381" s="6" t="s">
        <v>144</v>
      </c>
      <c r="U381" s="28" t="str">
        <f>HYPERLINK("https://media.infra-m.ru/1976/1976188/cover/1976188.jpg", "Обложка")</f>
        <v>Обложка</v>
      </c>
      <c r="V381" s="28" t="str">
        <f>HYPERLINK("https://znanium.com/catalog/product/1038907", "Ознакомиться")</f>
        <v>Ознакомиться</v>
      </c>
      <c r="W381" s="8" t="s">
        <v>284</v>
      </c>
      <c r="X381" s="6"/>
      <c r="Y381" s="6"/>
      <c r="Z381" s="6"/>
      <c r="AA381" s="6" t="s">
        <v>58</v>
      </c>
    </row>
    <row r="382" spans="1:27" s="4" customFormat="1" ht="51.95" customHeight="1">
      <c r="A382" s="5">
        <v>0</v>
      </c>
      <c r="B382" s="6" t="s">
        <v>2363</v>
      </c>
      <c r="C382" s="13">
        <v>1560</v>
      </c>
      <c r="D382" s="8" t="s">
        <v>2364</v>
      </c>
      <c r="E382" s="8" t="s">
        <v>2365</v>
      </c>
      <c r="F382" s="8" t="s">
        <v>964</v>
      </c>
      <c r="G382" s="6" t="s">
        <v>63</v>
      </c>
      <c r="H382" s="6" t="s">
        <v>64</v>
      </c>
      <c r="I382" s="8" t="s">
        <v>2366</v>
      </c>
      <c r="J382" s="9">
        <v>1</v>
      </c>
      <c r="K382" s="9">
        <v>346</v>
      </c>
      <c r="L382" s="9">
        <v>2023</v>
      </c>
      <c r="M382" s="8" t="s">
        <v>2367</v>
      </c>
      <c r="N382" s="8" t="s">
        <v>41</v>
      </c>
      <c r="O382" s="8" t="s">
        <v>97</v>
      </c>
      <c r="P382" s="6" t="s">
        <v>67</v>
      </c>
      <c r="Q382" s="8" t="s">
        <v>194</v>
      </c>
      <c r="R382" s="10" t="s">
        <v>2368</v>
      </c>
      <c r="S382" s="11" t="s">
        <v>2369</v>
      </c>
      <c r="T382" s="6"/>
      <c r="U382" s="28" t="str">
        <f>HYPERLINK("https://media.infra-m.ru/1911/1911734/cover/1911734.jpg", "Обложка")</f>
        <v>Обложка</v>
      </c>
      <c r="V382" s="28" t="str">
        <f>HYPERLINK("https://znanium.com/catalog/product/1911734", "Ознакомиться")</f>
        <v>Ознакомиться</v>
      </c>
      <c r="W382" s="8" t="s">
        <v>968</v>
      </c>
      <c r="X382" s="6"/>
      <c r="Y382" s="6"/>
      <c r="Z382" s="6"/>
      <c r="AA382" s="6" t="s">
        <v>166</v>
      </c>
    </row>
    <row r="383" spans="1:27" s="4" customFormat="1" ht="51.95" customHeight="1">
      <c r="A383" s="5">
        <v>0</v>
      </c>
      <c r="B383" s="6" t="s">
        <v>2370</v>
      </c>
      <c r="C383" s="13">
        <v>2270</v>
      </c>
      <c r="D383" s="8" t="s">
        <v>2371</v>
      </c>
      <c r="E383" s="8" t="s">
        <v>2372</v>
      </c>
      <c r="F383" s="8" t="s">
        <v>2373</v>
      </c>
      <c r="G383" s="6" t="s">
        <v>95</v>
      </c>
      <c r="H383" s="6" t="s">
        <v>64</v>
      </c>
      <c r="I383" s="8" t="s">
        <v>185</v>
      </c>
      <c r="J383" s="9">
        <v>1</v>
      </c>
      <c r="K383" s="9">
        <v>491</v>
      </c>
      <c r="L383" s="9">
        <v>2023</v>
      </c>
      <c r="M383" s="8" t="s">
        <v>2374</v>
      </c>
      <c r="N383" s="8" t="s">
        <v>41</v>
      </c>
      <c r="O383" s="8" t="s">
        <v>97</v>
      </c>
      <c r="P383" s="6" t="s">
        <v>67</v>
      </c>
      <c r="Q383" s="8" t="s">
        <v>86</v>
      </c>
      <c r="R383" s="10" t="s">
        <v>2375</v>
      </c>
      <c r="S383" s="11" t="s">
        <v>158</v>
      </c>
      <c r="T383" s="6"/>
      <c r="U383" s="28" t="str">
        <f>HYPERLINK("https://media.infra-m.ru/1851/1851513/cover/1851513.jpg", "Обложка")</f>
        <v>Обложка</v>
      </c>
      <c r="V383" s="28" t="str">
        <f>HYPERLINK("https://znanium.com/catalog/product/1851513", "Ознакомиться")</f>
        <v>Ознакомиться</v>
      </c>
      <c r="W383" s="8" t="s">
        <v>159</v>
      </c>
      <c r="X383" s="6" t="s">
        <v>1127</v>
      </c>
      <c r="Y383" s="6"/>
      <c r="Z383" s="6"/>
      <c r="AA383" s="6" t="s">
        <v>101</v>
      </c>
    </row>
    <row r="384" spans="1:27" s="4" customFormat="1" ht="42" customHeight="1">
      <c r="A384" s="5">
        <v>0</v>
      </c>
      <c r="B384" s="6" t="s">
        <v>2376</v>
      </c>
      <c r="C384" s="13">
        <v>1650</v>
      </c>
      <c r="D384" s="8" t="s">
        <v>2377</v>
      </c>
      <c r="E384" s="8" t="s">
        <v>2378</v>
      </c>
      <c r="F384" s="8" t="s">
        <v>1703</v>
      </c>
      <c r="G384" s="6" t="s">
        <v>63</v>
      </c>
      <c r="H384" s="6" t="s">
        <v>347</v>
      </c>
      <c r="I384" s="8"/>
      <c r="J384" s="9">
        <v>1</v>
      </c>
      <c r="K384" s="9">
        <v>368</v>
      </c>
      <c r="L384" s="9">
        <v>2023</v>
      </c>
      <c r="M384" s="8" t="s">
        <v>2379</v>
      </c>
      <c r="N384" s="8" t="s">
        <v>41</v>
      </c>
      <c r="O384" s="8" t="s">
        <v>97</v>
      </c>
      <c r="P384" s="6" t="s">
        <v>54</v>
      </c>
      <c r="Q384" s="8" t="s">
        <v>55</v>
      </c>
      <c r="R384" s="10" t="s">
        <v>686</v>
      </c>
      <c r="S384" s="11"/>
      <c r="T384" s="6"/>
      <c r="U384" s="28" t="str">
        <f>HYPERLINK("https://media.infra-m.ru/1082/1082926/cover/1082926.jpg", "Обложка")</f>
        <v>Обложка</v>
      </c>
      <c r="V384" s="28" t="str">
        <f>HYPERLINK("https://znanium.com/catalog/product/1082926", "Ознакомиться")</f>
        <v>Ознакомиться</v>
      </c>
      <c r="W384" s="8" t="s">
        <v>1198</v>
      </c>
      <c r="X384" s="6"/>
      <c r="Y384" s="6"/>
      <c r="Z384" s="6"/>
      <c r="AA384" s="6" t="s">
        <v>166</v>
      </c>
    </row>
    <row r="385" spans="1:27" s="4" customFormat="1" ht="51.95" customHeight="1">
      <c r="A385" s="5">
        <v>0</v>
      </c>
      <c r="B385" s="6" t="s">
        <v>2380</v>
      </c>
      <c r="C385" s="7">
        <v>554.9</v>
      </c>
      <c r="D385" s="8" t="s">
        <v>2381</v>
      </c>
      <c r="E385" s="8" t="s">
        <v>2382</v>
      </c>
      <c r="F385" s="8" t="s">
        <v>2383</v>
      </c>
      <c r="G385" s="6" t="s">
        <v>37</v>
      </c>
      <c r="H385" s="6" t="s">
        <v>64</v>
      </c>
      <c r="I385" s="8" t="s">
        <v>65</v>
      </c>
      <c r="J385" s="9">
        <v>1</v>
      </c>
      <c r="K385" s="9">
        <v>150</v>
      </c>
      <c r="L385" s="9">
        <v>2018</v>
      </c>
      <c r="M385" s="8" t="s">
        <v>2384</v>
      </c>
      <c r="N385" s="8" t="s">
        <v>41</v>
      </c>
      <c r="O385" s="8" t="s">
        <v>85</v>
      </c>
      <c r="P385" s="6" t="s">
        <v>54</v>
      </c>
      <c r="Q385" s="8" t="s">
        <v>55</v>
      </c>
      <c r="R385" s="10" t="s">
        <v>1005</v>
      </c>
      <c r="S385" s="11"/>
      <c r="T385" s="6"/>
      <c r="U385" s="28" t="str">
        <f>HYPERLINK("https://media.infra-m.ru/0995/0995348/cover/995348.jpg", "Обложка")</f>
        <v>Обложка</v>
      </c>
      <c r="V385" s="28" t="str">
        <f>HYPERLINK("https://znanium.com/catalog/product/1074318", "Ознакомиться")</f>
        <v>Ознакомиться</v>
      </c>
      <c r="W385" s="8" t="s">
        <v>1747</v>
      </c>
      <c r="X385" s="6"/>
      <c r="Y385" s="6"/>
      <c r="Z385" s="6"/>
      <c r="AA385" s="6" t="s">
        <v>71</v>
      </c>
    </row>
    <row r="386" spans="1:27" s="4" customFormat="1" ht="42" customHeight="1">
      <c r="A386" s="5">
        <v>0</v>
      </c>
      <c r="B386" s="6" t="s">
        <v>2385</v>
      </c>
      <c r="C386" s="13">
        <v>1490</v>
      </c>
      <c r="D386" s="8" t="s">
        <v>2386</v>
      </c>
      <c r="E386" s="8" t="s">
        <v>2387</v>
      </c>
      <c r="F386" s="8" t="s">
        <v>2388</v>
      </c>
      <c r="G386" s="6" t="s">
        <v>95</v>
      </c>
      <c r="H386" s="6" t="s">
        <v>64</v>
      </c>
      <c r="I386" s="8" t="s">
        <v>185</v>
      </c>
      <c r="J386" s="9">
        <v>1</v>
      </c>
      <c r="K386" s="9">
        <v>323</v>
      </c>
      <c r="L386" s="9">
        <v>2024</v>
      </c>
      <c r="M386" s="8" t="s">
        <v>2389</v>
      </c>
      <c r="N386" s="8" t="s">
        <v>41</v>
      </c>
      <c r="O386" s="8" t="s">
        <v>97</v>
      </c>
      <c r="P386" s="6" t="s">
        <v>67</v>
      </c>
      <c r="Q386" s="8" t="s">
        <v>86</v>
      </c>
      <c r="R386" s="10" t="s">
        <v>227</v>
      </c>
      <c r="S386" s="11"/>
      <c r="T386" s="6" t="s">
        <v>144</v>
      </c>
      <c r="U386" s="28" t="str">
        <f>HYPERLINK("https://media.infra-m.ru/1958/1958351/cover/1958351.jpg", "Обложка")</f>
        <v>Обложка</v>
      </c>
      <c r="V386" s="28" t="str">
        <f>HYPERLINK("https://znanium.com/catalog/product/1958351", "Ознакомиться")</f>
        <v>Ознакомиться</v>
      </c>
      <c r="W386" s="8" t="s">
        <v>737</v>
      </c>
      <c r="X386" s="6" t="s">
        <v>617</v>
      </c>
      <c r="Y386" s="6"/>
      <c r="Z386" s="6"/>
      <c r="AA386" s="6" t="s">
        <v>2390</v>
      </c>
    </row>
    <row r="387" spans="1:27" s="4" customFormat="1" ht="51.95" customHeight="1">
      <c r="A387" s="5">
        <v>0</v>
      </c>
      <c r="B387" s="6" t="s">
        <v>2391</v>
      </c>
      <c r="C387" s="13">
        <v>1030</v>
      </c>
      <c r="D387" s="8" t="s">
        <v>2392</v>
      </c>
      <c r="E387" s="8" t="s">
        <v>2393</v>
      </c>
      <c r="F387" s="8" t="s">
        <v>2394</v>
      </c>
      <c r="G387" s="6" t="s">
        <v>63</v>
      </c>
      <c r="H387" s="6" t="s">
        <v>64</v>
      </c>
      <c r="I387" s="8" t="s">
        <v>858</v>
      </c>
      <c r="J387" s="9">
        <v>1</v>
      </c>
      <c r="K387" s="9">
        <v>228</v>
      </c>
      <c r="L387" s="9">
        <v>2023</v>
      </c>
      <c r="M387" s="8" t="s">
        <v>2395</v>
      </c>
      <c r="N387" s="8" t="s">
        <v>41</v>
      </c>
      <c r="O387" s="8" t="s">
        <v>85</v>
      </c>
      <c r="P387" s="6" t="s">
        <v>54</v>
      </c>
      <c r="Q387" s="8" t="s">
        <v>860</v>
      </c>
      <c r="R387" s="10" t="s">
        <v>861</v>
      </c>
      <c r="S387" s="11" t="s">
        <v>2396</v>
      </c>
      <c r="T387" s="6"/>
      <c r="U387" s="28" t="str">
        <f>HYPERLINK("https://media.infra-m.ru/2021/2021459/cover/2021459.jpg", "Обложка")</f>
        <v>Обложка</v>
      </c>
      <c r="V387" s="28" t="str">
        <f>HYPERLINK("https://znanium.com/catalog/product/2021459", "Ознакомиться")</f>
        <v>Ознакомиться</v>
      </c>
      <c r="W387" s="8" t="s">
        <v>2397</v>
      </c>
      <c r="X387" s="6"/>
      <c r="Y387" s="6"/>
      <c r="Z387" s="6"/>
      <c r="AA387" s="6" t="s">
        <v>166</v>
      </c>
    </row>
    <row r="388" spans="1:27" s="4" customFormat="1" ht="51.95" customHeight="1">
      <c r="A388" s="5">
        <v>0</v>
      </c>
      <c r="B388" s="6" t="s">
        <v>2398</v>
      </c>
      <c r="C388" s="7">
        <v>764</v>
      </c>
      <c r="D388" s="8" t="s">
        <v>2399</v>
      </c>
      <c r="E388" s="8" t="s">
        <v>2400</v>
      </c>
      <c r="F388" s="8" t="s">
        <v>2401</v>
      </c>
      <c r="G388" s="6" t="s">
        <v>37</v>
      </c>
      <c r="H388" s="6" t="s">
        <v>64</v>
      </c>
      <c r="I388" s="8" t="s">
        <v>83</v>
      </c>
      <c r="J388" s="9">
        <v>1</v>
      </c>
      <c r="K388" s="9">
        <v>166</v>
      </c>
      <c r="L388" s="9">
        <v>2024</v>
      </c>
      <c r="M388" s="8" t="s">
        <v>2402</v>
      </c>
      <c r="N388" s="8" t="s">
        <v>41</v>
      </c>
      <c r="O388" s="8" t="s">
        <v>97</v>
      </c>
      <c r="P388" s="6" t="s">
        <v>54</v>
      </c>
      <c r="Q388" s="8" t="s">
        <v>86</v>
      </c>
      <c r="R388" s="10" t="s">
        <v>2403</v>
      </c>
      <c r="S388" s="11" t="s">
        <v>2404</v>
      </c>
      <c r="T388" s="6"/>
      <c r="U388" s="28" t="str">
        <f>HYPERLINK("https://media.infra-m.ru/2084/2084526/cover/2084526.jpg", "Обложка")</f>
        <v>Обложка</v>
      </c>
      <c r="V388" s="28" t="str">
        <f>HYPERLINK("https://znanium.com/catalog/product/1361805", "Ознакомиться")</f>
        <v>Ознакомиться</v>
      </c>
      <c r="W388" s="8" t="s">
        <v>2405</v>
      </c>
      <c r="X388" s="6"/>
      <c r="Y388" s="6"/>
      <c r="Z388" s="6"/>
      <c r="AA388" s="6" t="s">
        <v>90</v>
      </c>
    </row>
    <row r="389" spans="1:27" s="4" customFormat="1" ht="51.95" customHeight="1">
      <c r="A389" s="5">
        <v>0</v>
      </c>
      <c r="B389" s="6" t="s">
        <v>2406</v>
      </c>
      <c r="C389" s="13">
        <v>1190</v>
      </c>
      <c r="D389" s="8" t="s">
        <v>2407</v>
      </c>
      <c r="E389" s="8" t="s">
        <v>2408</v>
      </c>
      <c r="F389" s="8" t="s">
        <v>2409</v>
      </c>
      <c r="G389" s="6" t="s">
        <v>95</v>
      </c>
      <c r="H389" s="6" t="s">
        <v>64</v>
      </c>
      <c r="I389" s="8" t="s">
        <v>83</v>
      </c>
      <c r="J389" s="9">
        <v>1</v>
      </c>
      <c r="K389" s="9">
        <v>245</v>
      </c>
      <c r="L389" s="9">
        <v>2023</v>
      </c>
      <c r="M389" s="8" t="s">
        <v>2410</v>
      </c>
      <c r="N389" s="8" t="s">
        <v>41</v>
      </c>
      <c r="O389" s="8" t="s">
        <v>97</v>
      </c>
      <c r="P389" s="6" t="s">
        <v>67</v>
      </c>
      <c r="Q389" s="8" t="s">
        <v>86</v>
      </c>
      <c r="R389" s="10" t="s">
        <v>2411</v>
      </c>
      <c r="S389" s="11" t="s">
        <v>2412</v>
      </c>
      <c r="T389" s="6"/>
      <c r="U389" s="28" t="str">
        <f>HYPERLINK("https://media.infra-m.ru/1859/1859083/cover/1859083.jpg", "Обложка")</f>
        <v>Обложка</v>
      </c>
      <c r="V389" s="28" t="str">
        <f>HYPERLINK("https://znanium.com/catalog/product/1859083", "Ознакомиться")</f>
        <v>Ознакомиться</v>
      </c>
      <c r="W389" s="8" t="s">
        <v>100</v>
      </c>
      <c r="X389" s="6" t="s">
        <v>546</v>
      </c>
      <c r="Y389" s="6"/>
      <c r="Z389" s="6"/>
      <c r="AA389" s="6" t="s">
        <v>112</v>
      </c>
    </row>
    <row r="390" spans="1:27" s="4" customFormat="1" ht="51.95" customHeight="1">
      <c r="A390" s="5">
        <v>0</v>
      </c>
      <c r="B390" s="6" t="s">
        <v>2413</v>
      </c>
      <c r="C390" s="13">
        <v>1150</v>
      </c>
      <c r="D390" s="8" t="s">
        <v>2414</v>
      </c>
      <c r="E390" s="8" t="s">
        <v>2408</v>
      </c>
      <c r="F390" s="8" t="s">
        <v>2415</v>
      </c>
      <c r="G390" s="6" t="s">
        <v>63</v>
      </c>
      <c r="H390" s="6" t="s">
        <v>64</v>
      </c>
      <c r="I390" s="8" t="s">
        <v>192</v>
      </c>
      <c r="J390" s="9">
        <v>1</v>
      </c>
      <c r="K390" s="9">
        <v>248</v>
      </c>
      <c r="L390" s="9">
        <v>2024</v>
      </c>
      <c r="M390" s="8" t="s">
        <v>2416</v>
      </c>
      <c r="N390" s="8" t="s">
        <v>41</v>
      </c>
      <c r="O390" s="8" t="s">
        <v>97</v>
      </c>
      <c r="P390" s="6" t="s">
        <v>54</v>
      </c>
      <c r="Q390" s="8" t="s">
        <v>194</v>
      </c>
      <c r="R390" s="10" t="s">
        <v>2417</v>
      </c>
      <c r="S390" s="11" t="s">
        <v>2418</v>
      </c>
      <c r="T390" s="6"/>
      <c r="U390" s="28" t="str">
        <f>HYPERLINK("https://media.infra-m.ru/2090/2090562/cover/2090562.jpg", "Обложка")</f>
        <v>Обложка</v>
      </c>
      <c r="V390" s="28" t="str">
        <f>HYPERLINK("https://znanium.com/catalog/product/2090562", "Ознакомиться")</f>
        <v>Ознакомиться</v>
      </c>
      <c r="W390" s="8" t="s">
        <v>883</v>
      </c>
      <c r="X390" s="6"/>
      <c r="Y390" s="6"/>
      <c r="Z390" s="6"/>
      <c r="AA390" s="6" t="s">
        <v>687</v>
      </c>
    </row>
    <row r="391" spans="1:27" s="4" customFormat="1" ht="51.95" customHeight="1">
      <c r="A391" s="5">
        <v>0</v>
      </c>
      <c r="B391" s="6" t="s">
        <v>2419</v>
      </c>
      <c r="C391" s="13">
        <v>1430</v>
      </c>
      <c r="D391" s="8" t="s">
        <v>2420</v>
      </c>
      <c r="E391" s="8" t="s">
        <v>2421</v>
      </c>
      <c r="F391" s="8" t="s">
        <v>2422</v>
      </c>
      <c r="G391" s="6" t="s">
        <v>63</v>
      </c>
      <c r="H391" s="6" t="s">
        <v>64</v>
      </c>
      <c r="I391" s="8" t="s">
        <v>83</v>
      </c>
      <c r="J391" s="9">
        <v>1</v>
      </c>
      <c r="K391" s="9">
        <v>407</v>
      </c>
      <c r="L391" s="9">
        <v>2021</v>
      </c>
      <c r="M391" s="8" t="s">
        <v>2423</v>
      </c>
      <c r="N391" s="8" t="s">
        <v>41</v>
      </c>
      <c r="O391" s="8" t="s">
        <v>97</v>
      </c>
      <c r="P391" s="6" t="s">
        <v>54</v>
      </c>
      <c r="Q391" s="8" t="s">
        <v>86</v>
      </c>
      <c r="R391" s="10" t="s">
        <v>2424</v>
      </c>
      <c r="S391" s="11" t="s">
        <v>2425</v>
      </c>
      <c r="T391" s="6"/>
      <c r="U391" s="28" t="str">
        <f>HYPERLINK("https://media.infra-m.ru/1176/1176302/cover/1176302.jpg", "Обложка")</f>
        <v>Обложка</v>
      </c>
      <c r="V391" s="28" t="str">
        <f>HYPERLINK("https://znanium.com/catalog/product/1176302", "Ознакомиться")</f>
        <v>Ознакомиться</v>
      </c>
      <c r="W391" s="8" t="s">
        <v>2426</v>
      </c>
      <c r="X391" s="6"/>
      <c r="Y391" s="6"/>
      <c r="Z391" s="6"/>
      <c r="AA391" s="6" t="s">
        <v>206</v>
      </c>
    </row>
    <row r="392" spans="1:27" s="4" customFormat="1" ht="51.95" customHeight="1">
      <c r="A392" s="5">
        <v>0</v>
      </c>
      <c r="B392" s="6" t="s">
        <v>2427</v>
      </c>
      <c r="C392" s="7">
        <v>650</v>
      </c>
      <c r="D392" s="8" t="s">
        <v>2428</v>
      </c>
      <c r="E392" s="8" t="s">
        <v>2429</v>
      </c>
      <c r="F392" s="8" t="s">
        <v>2430</v>
      </c>
      <c r="G392" s="6" t="s">
        <v>63</v>
      </c>
      <c r="H392" s="6" t="s">
        <v>64</v>
      </c>
      <c r="I392" s="8" t="s">
        <v>192</v>
      </c>
      <c r="J392" s="9">
        <v>1</v>
      </c>
      <c r="K392" s="9">
        <v>167</v>
      </c>
      <c r="L392" s="9">
        <v>2022</v>
      </c>
      <c r="M392" s="8" t="s">
        <v>2431</v>
      </c>
      <c r="N392" s="8" t="s">
        <v>41</v>
      </c>
      <c r="O392" s="8" t="s">
        <v>97</v>
      </c>
      <c r="P392" s="6" t="s">
        <v>54</v>
      </c>
      <c r="Q392" s="8" t="s">
        <v>194</v>
      </c>
      <c r="R392" s="10" t="s">
        <v>2432</v>
      </c>
      <c r="S392" s="11" t="s">
        <v>2433</v>
      </c>
      <c r="T392" s="6"/>
      <c r="U392" s="28" t="str">
        <f>HYPERLINK("https://media.infra-m.ru/1864/1864109/cover/1864109.jpg", "Обложка")</f>
        <v>Обложка</v>
      </c>
      <c r="V392" s="28" t="str">
        <f>HYPERLINK("https://znanium.com/catalog/product/1864109", "Ознакомиться")</f>
        <v>Ознакомиться</v>
      </c>
      <c r="W392" s="8" t="s">
        <v>564</v>
      </c>
      <c r="X392" s="6"/>
      <c r="Y392" s="6"/>
      <c r="Z392" s="6"/>
      <c r="AA392" s="6" t="s">
        <v>441</v>
      </c>
    </row>
    <row r="393" spans="1:27" s="4" customFormat="1" ht="51.95" customHeight="1">
      <c r="A393" s="5">
        <v>0</v>
      </c>
      <c r="B393" s="6" t="s">
        <v>2434</v>
      </c>
      <c r="C393" s="7">
        <v>770</v>
      </c>
      <c r="D393" s="8" t="s">
        <v>2435</v>
      </c>
      <c r="E393" s="8" t="s">
        <v>2436</v>
      </c>
      <c r="F393" s="8" t="s">
        <v>2437</v>
      </c>
      <c r="G393" s="6" t="s">
        <v>37</v>
      </c>
      <c r="H393" s="6" t="s">
        <v>64</v>
      </c>
      <c r="I393" s="8" t="s">
        <v>1592</v>
      </c>
      <c r="J393" s="9">
        <v>1</v>
      </c>
      <c r="K393" s="9">
        <v>225</v>
      </c>
      <c r="L393" s="9">
        <v>2019</v>
      </c>
      <c r="M393" s="8" t="s">
        <v>2438</v>
      </c>
      <c r="N393" s="8" t="s">
        <v>41</v>
      </c>
      <c r="O393" s="8" t="s">
        <v>42</v>
      </c>
      <c r="P393" s="6" t="s">
        <v>2439</v>
      </c>
      <c r="Q393" s="8" t="s">
        <v>44</v>
      </c>
      <c r="R393" s="10" t="s">
        <v>178</v>
      </c>
      <c r="S393" s="11"/>
      <c r="T393" s="6"/>
      <c r="U393" s="28" t="str">
        <f>HYPERLINK("https://media.infra-m.ru/1002/1002084/cover/1002084.jpg", "Обложка")</f>
        <v>Обложка</v>
      </c>
      <c r="V393" s="28" t="str">
        <f>HYPERLINK("https://znanium.com/catalog/product/1002084", "Ознакомиться")</f>
        <v>Ознакомиться</v>
      </c>
      <c r="W393" s="8" t="s">
        <v>1180</v>
      </c>
      <c r="X393" s="6"/>
      <c r="Y393" s="6"/>
      <c r="Z393" s="6"/>
      <c r="AA393" s="6" t="s">
        <v>90</v>
      </c>
    </row>
    <row r="394" spans="1:27" s="4" customFormat="1" ht="51.95" customHeight="1">
      <c r="A394" s="5">
        <v>0</v>
      </c>
      <c r="B394" s="6" t="s">
        <v>2440</v>
      </c>
      <c r="C394" s="7">
        <v>524</v>
      </c>
      <c r="D394" s="8" t="s">
        <v>2441</v>
      </c>
      <c r="E394" s="8" t="s">
        <v>2436</v>
      </c>
      <c r="F394" s="8" t="s">
        <v>2442</v>
      </c>
      <c r="G394" s="6" t="s">
        <v>37</v>
      </c>
      <c r="H394" s="6" t="s">
        <v>52</v>
      </c>
      <c r="I394" s="8"/>
      <c r="J394" s="9">
        <v>1</v>
      </c>
      <c r="K394" s="9">
        <v>112</v>
      </c>
      <c r="L394" s="9">
        <v>2023</v>
      </c>
      <c r="M394" s="8" t="s">
        <v>2443</v>
      </c>
      <c r="N394" s="8" t="s">
        <v>41</v>
      </c>
      <c r="O394" s="8" t="s">
        <v>42</v>
      </c>
      <c r="P394" s="6" t="s">
        <v>54</v>
      </c>
      <c r="Q394" s="8" t="s">
        <v>55</v>
      </c>
      <c r="R394" s="10" t="s">
        <v>2444</v>
      </c>
      <c r="S394" s="11"/>
      <c r="T394" s="6"/>
      <c r="U394" s="28" t="str">
        <f>HYPERLINK("https://media.infra-m.ru/2006/2006914/cover/2006914.jpg", "Обложка")</f>
        <v>Обложка</v>
      </c>
      <c r="V394" s="28" t="str">
        <f>HYPERLINK("https://znanium.com/catalog/product/990003", "Ознакомиться")</f>
        <v>Ознакомиться</v>
      </c>
      <c r="W394" s="8" t="s">
        <v>57</v>
      </c>
      <c r="X394" s="6"/>
      <c r="Y394" s="6"/>
      <c r="Z394" s="6"/>
      <c r="AA394" s="6" t="s">
        <v>71</v>
      </c>
    </row>
    <row r="395" spans="1:27" s="4" customFormat="1" ht="42" customHeight="1">
      <c r="A395" s="5">
        <v>0</v>
      </c>
      <c r="B395" s="6" t="s">
        <v>2445</v>
      </c>
      <c r="C395" s="7">
        <v>724.9</v>
      </c>
      <c r="D395" s="8" t="s">
        <v>2446</v>
      </c>
      <c r="E395" s="8" t="s">
        <v>2447</v>
      </c>
      <c r="F395" s="8" t="s">
        <v>2448</v>
      </c>
      <c r="G395" s="6" t="s">
        <v>37</v>
      </c>
      <c r="H395" s="6" t="s">
        <v>64</v>
      </c>
      <c r="I395" s="8" t="s">
        <v>39</v>
      </c>
      <c r="J395" s="9">
        <v>1</v>
      </c>
      <c r="K395" s="9">
        <v>160</v>
      </c>
      <c r="L395" s="9">
        <v>2023</v>
      </c>
      <c r="M395" s="8" t="s">
        <v>2449</v>
      </c>
      <c r="N395" s="8" t="s">
        <v>41</v>
      </c>
      <c r="O395" s="8" t="s">
        <v>97</v>
      </c>
      <c r="P395" s="6" t="s">
        <v>43</v>
      </c>
      <c r="Q395" s="8" t="s">
        <v>44</v>
      </c>
      <c r="R395" s="10" t="s">
        <v>2450</v>
      </c>
      <c r="S395" s="11"/>
      <c r="T395" s="6" t="s">
        <v>144</v>
      </c>
      <c r="U395" s="28" t="str">
        <f>HYPERLINK("https://media.infra-m.ru/1911/1911812/cover/1911812.jpg", "Обложка")</f>
        <v>Обложка</v>
      </c>
      <c r="V395" s="28" t="str">
        <f>HYPERLINK("https://znanium.com/catalog/product/501742", "Ознакомиться")</f>
        <v>Ознакомиться</v>
      </c>
      <c r="W395" s="8" t="s">
        <v>159</v>
      </c>
      <c r="X395" s="6"/>
      <c r="Y395" s="6"/>
      <c r="Z395" s="6"/>
      <c r="AA395" s="6" t="s">
        <v>317</v>
      </c>
    </row>
    <row r="396" spans="1:27" s="4" customFormat="1" ht="51.95" customHeight="1">
      <c r="A396" s="5">
        <v>0</v>
      </c>
      <c r="B396" s="6" t="s">
        <v>2451</v>
      </c>
      <c r="C396" s="7">
        <v>790</v>
      </c>
      <c r="D396" s="8" t="s">
        <v>2452</v>
      </c>
      <c r="E396" s="8" t="s">
        <v>2453</v>
      </c>
      <c r="F396" s="8" t="s">
        <v>2454</v>
      </c>
      <c r="G396" s="6" t="s">
        <v>63</v>
      </c>
      <c r="H396" s="6" t="s">
        <v>64</v>
      </c>
      <c r="I396" s="8" t="s">
        <v>217</v>
      </c>
      <c r="J396" s="9">
        <v>1</v>
      </c>
      <c r="K396" s="9">
        <v>175</v>
      </c>
      <c r="L396" s="9">
        <v>2023</v>
      </c>
      <c r="M396" s="8" t="s">
        <v>2455</v>
      </c>
      <c r="N396" s="8" t="s">
        <v>41</v>
      </c>
      <c r="O396" s="8" t="s">
        <v>97</v>
      </c>
      <c r="P396" s="6" t="s">
        <v>54</v>
      </c>
      <c r="Q396" s="8" t="s">
        <v>86</v>
      </c>
      <c r="R396" s="10" t="s">
        <v>2456</v>
      </c>
      <c r="S396" s="11" t="s">
        <v>2457</v>
      </c>
      <c r="T396" s="6"/>
      <c r="U396" s="28" t="str">
        <f>HYPERLINK("https://media.infra-m.ru/1926/1926426/cover/1926426.jpg", "Обложка")</f>
        <v>Обложка</v>
      </c>
      <c r="V396" s="28" t="str">
        <f>HYPERLINK("https://znanium.com/catalog/product/1926426", "Ознакомиться")</f>
        <v>Ознакомиться</v>
      </c>
      <c r="W396" s="8" t="s">
        <v>1600</v>
      </c>
      <c r="X396" s="6"/>
      <c r="Y396" s="6"/>
      <c r="Z396" s="6"/>
      <c r="AA396" s="6" t="s">
        <v>687</v>
      </c>
    </row>
    <row r="397" spans="1:27" s="4" customFormat="1" ht="51.95" customHeight="1">
      <c r="A397" s="5">
        <v>0</v>
      </c>
      <c r="B397" s="6" t="s">
        <v>2458</v>
      </c>
      <c r="C397" s="7">
        <v>940</v>
      </c>
      <c r="D397" s="8" t="s">
        <v>2459</v>
      </c>
      <c r="E397" s="8" t="s">
        <v>2460</v>
      </c>
      <c r="F397" s="8" t="s">
        <v>2461</v>
      </c>
      <c r="G397" s="6" t="s">
        <v>63</v>
      </c>
      <c r="H397" s="6" t="s">
        <v>64</v>
      </c>
      <c r="I397" s="8" t="s">
        <v>185</v>
      </c>
      <c r="J397" s="9">
        <v>1</v>
      </c>
      <c r="K397" s="9">
        <v>190</v>
      </c>
      <c r="L397" s="9">
        <v>2024</v>
      </c>
      <c r="M397" s="8" t="s">
        <v>2462</v>
      </c>
      <c r="N397" s="8" t="s">
        <v>41</v>
      </c>
      <c r="O397" s="8" t="s">
        <v>97</v>
      </c>
      <c r="P397" s="6" t="s">
        <v>54</v>
      </c>
      <c r="Q397" s="8" t="s">
        <v>86</v>
      </c>
      <c r="R397" s="10" t="s">
        <v>373</v>
      </c>
      <c r="S397" s="11" t="s">
        <v>2463</v>
      </c>
      <c r="T397" s="6"/>
      <c r="U397" s="28" t="str">
        <f>HYPERLINK("https://media.infra-m.ru/2089/2089367/cover/2089367.jpg", "Обложка")</f>
        <v>Обложка</v>
      </c>
      <c r="V397" s="28" t="str">
        <f>HYPERLINK("https://znanium.com/catalog/product/2089367", "Ознакомиться")</f>
        <v>Ознакомиться</v>
      </c>
      <c r="W397" s="8" t="s">
        <v>1788</v>
      </c>
      <c r="X397" s="6"/>
      <c r="Y397" s="6"/>
      <c r="Z397" s="6"/>
      <c r="AA397" s="6" t="s">
        <v>810</v>
      </c>
    </row>
    <row r="398" spans="1:27" s="4" customFormat="1" ht="51.95" customHeight="1">
      <c r="A398" s="5">
        <v>0</v>
      </c>
      <c r="B398" s="6" t="s">
        <v>2464</v>
      </c>
      <c r="C398" s="13">
        <v>1490</v>
      </c>
      <c r="D398" s="8" t="s">
        <v>2465</v>
      </c>
      <c r="E398" s="8" t="s">
        <v>2466</v>
      </c>
      <c r="F398" s="8" t="s">
        <v>2467</v>
      </c>
      <c r="G398" s="6" t="s">
        <v>63</v>
      </c>
      <c r="H398" s="6" t="s">
        <v>64</v>
      </c>
      <c r="I398" s="8" t="s">
        <v>132</v>
      </c>
      <c r="J398" s="9">
        <v>1</v>
      </c>
      <c r="K398" s="9">
        <v>324</v>
      </c>
      <c r="L398" s="9">
        <v>2024</v>
      </c>
      <c r="M398" s="8" t="s">
        <v>2468</v>
      </c>
      <c r="N398" s="8" t="s">
        <v>41</v>
      </c>
      <c r="O398" s="8" t="s">
        <v>97</v>
      </c>
      <c r="P398" s="6" t="s">
        <v>67</v>
      </c>
      <c r="Q398" s="8" t="s">
        <v>86</v>
      </c>
      <c r="R398" s="10" t="s">
        <v>482</v>
      </c>
      <c r="S398" s="11" t="s">
        <v>680</v>
      </c>
      <c r="T398" s="6"/>
      <c r="U398" s="28" t="str">
        <f>HYPERLINK("https://media.infra-m.ru/2078/2078401/cover/2078401.jpg", "Обложка")</f>
        <v>Обложка</v>
      </c>
      <c r="V398" s="28" t="str">
        <f>HYPERLINK("https://znanium.com/catalog/product/2078401", "Ознакомиться")</f>
        <v>Ознакомиться</v>
      </c>
      <c r="W398" s="8" t="s">
        <v>110</v>
      </c>
      <c r="X398" s="6"/>
      <c r="Y398" s="6"/>
      <c r="Z398" s="6"/>
      <c r="AA398" s="6" t="s">
        <v>127</v>
      </c>
    </row>
    <row r="399" spans="1:27" s="4" customFormat="1" ht="51.95" customHeight="1">
      <c r="A399" s="5">
        <v>0</v>
      </c>
      <c r="B399" s="6" t="s">
        <v>2469</v>
      </c>
      <c r="C399" s="13">
        <v>1500</v>
      </c>
      <c r="D399" s="8" t="s">
        <v>2470</v>
      </c>
      <c r="E399" s="8" t="s">
        <v>2471</v>
      </c>
      <c r="F399" s="8" t="s">
        <v>2472</v>
      </c>
      <c r="G399" s="6" t="s">
        <v>95</v>
      </c>
      <c r="H399" s="6" t="s">
        <v>64</v>
      </c>
      <c r="I399" s="8" t="s">
        <v>83</v>
      </c>
      <c r="J399" s="9">
        <v>1</v>
      </c>
      <c r="K399" s="9">
        <v>320</v>
      </c>
      <c r="L399" s="9">
        <v>2023</v>
      </c>
      <c r="M399" s="8" t="s">
        <v>2473</v>
      </c>
      <c r="N399" s="8" t="s">
        <v>41</v>
      </c>
      <c r="O399" s="8" t="s">
        <v>97</v>
      </c>
      <c r="P399" s="6" t="s">
        <v>67</v>
      </c>
      <c r="Q399" s="8" t="s">
        <v>86</v>
      </c>
      <c r="R399" s="10" t="s">
        <v>2474</v>
      </c>
      <c r="S399" s="11" t="s">
        <v>2475</v>
      </c>
      <c r="T399" s="6"/>
      <c r="U399" s="28" t="str">
        <f>HYPERLINK("https://media.infra-m.ru/1026/1026058/cover/1026058.jpg", "Обложка")</f>
        <v>Обложка</v>
      </c>
      <c r="V399" s="28" t="str">
        <f>HYPERLINK("https://znanium.com/catalog/product/1026058", "Ознакомиться")</f>
        <v>Ознакомиться</v>
      </c>
      <c r="W399" s="8" t="s">
        <v>2476</v>
      </c>
      <c r="X399" s="6" t="s">
        <v>262</v>
      </c>
      <c r="Y399" s="6"/>
      <c r="Z399" s="6"/>
      <c r="AA399" s="6" t="s">
        <v>342</v>
      </c>
    </row>
    <row r="400" spans="1:27" s="4" customFormat="1" ht="51.95" customHeight="1">
      <c r="A400" s="5">
        <v>0</v>
      </c>
      <c r="B400" s="6" t="s">
        <v>2477</v>
      </c>
      <c r="C400" s="13">
        <v>1130</v>
      </c>
      <c r="D400" s="8" t="s">
        <v>2478</v>
      </c>
      <c r="E400" s="8" t="s">
        <v>2479</v>
      </c>
      <c r="F400" s="8" t="s">
        <v>2472</v>
      </c>
      <c r="G400" s="6" t="s">
        <v>63</v>
      </c>
      <c r="H400" s="6" t="s">
        <v>64</v>
      </c>
      <c r="I400" s="8" t="s">
        <v>83</v>
      </c>
      <c r="J400" s="9">
        <v>1</v>
      </c>
      <c r="K400" s="9">
        <v>352</v>
      </c>
      <c r="L400" s="9">
        <v>2019</v>
      </c>
      <c r="M400" s="8" t="s">
        <v>2480</v>
      </c>
      <c r="N400" s="8" t="s">
        <v>41</v>
      </c>
      <c r="O400" s="8" t="s">
        <v>97</v>
      </c>
      <c r="P400" s="6" t="s">
        <v>67</v>
      </c>
      <c r="Q400" s="8" t="s">
        <v>86</v>
      </c>
      <c r="R400" s="10" t="s">
        <v>2474</v>
      </c>
      <c r="S400" s="11" t="s">
        <v>2481</v>
      </c>
      <c r="T400" s="6"/>
      <c r="U400" s="28" t="str">
        <f>HYPERLINK("https://media.infra-m.ru/1026/1026054/cover/1026054.jpg", "Обложка")</f>
        <v>Обложка</v>
      </c>
      <c r="V400" s="28" t="str">
        <f>HYPERLINK("https://znanium.com/catalog/product/1026058", "Ознакомиться")</f>
        <v>Ознакомиться</v>
      </c>
      <c r="W400" s="8" t="s">
        <v>2476</v>
      </c>
      <c r="X400" s="6"/>
      <c r="Y400" s="6"/>
      <c r="Z400" s="6"/>
      <c r="AA400" s="6" t="s">
        <v>334</v>
      </c>
    </row>
    <row r="401" spans="1:27" s="4" customFormat="1" ht="42" customHeight="1">
      <c r="A401" s="5">
        <v>0</v>
      </c>
      <c r="B401" s="6" t="s">
        <v>2482</v>
      </c>
      <c r="C401" s="13">
        <v>1660</v>
      </c>
      <c r="D401" s="8" t="s">
        <v>2483</v>
      </c>
      <c r="E401" s="8" t="s">
        <v>2484</v>
      </c>
      <c r="F401" s="8" t="s">
        <v>2485</v>
      </c>
      <c r="G401" s="6" t="s">
        <v>63</v>
      </c>
      <c r="H401" s="6" t="s">
        <v>64</v>
      </c>
      <c r="I401" s="8" t="s">
        <v>132</v>
      </c>
      <c r="J401" s="9">
        <v>1</v>
      </c>
      <c r="K401" s="9">
        <v>359</v>
      </c>
      <c r="L401" s="9">
        <v>2024</v>
      </c>
      <c r="M401" s="8" t="s">
        <v>2486</v>
      </c>
      <c r="N401" s="8" t="s">
        <v>41</v>
      </c>
      <c r="O401" s="8" t="s">
        <v>97</v>
      </c>
      <c r="P401" s="6" t="s">
        <v>67</v>
      </c>
      <c r="Q401" s="8" t="s">
        <v>134</v>
      </c>
      <c r="R401" s="10" t="s">
        <v>2487</v>
      </c>
      <c r="S401" s="11"/>
      <c r="T401" s="6"/>
      <c r="U401" s="28" t="str">
        <f>HYPERLINK("https://media.infra-m.ru/2079/2079703/cover/2079703.jpg", "Обложка")</f>
        <v>Обложка</v>
      </c>
      <c r="V401" s="28" t="str">
        <f>HYPERLINK("https://znanium.com/catalog/product/2079703", "Ознакомиться")</f>
        <v>Ознакомиться</v>
      </c>
      <c r="W401" s="8" t="s">
        <v>110</v>
      </c>
      <c r="X401" s="6"/>
      <c r="Y401" s="6"/>
      <c r="Z401" s="6"/>
      <c r="AA401" s="6" t="s">
        <v>244</v>
      </c>
    </row>
    <row r="402" spans="1:27" s="4" customFormat="1" ht="42" customHeight="1">
      <c r="A402" s="5">
        <v>0</v>
      </c>
      <c r="B402" s="6" t="s">
        <v>2488</v>
      </c>
      <c r="C402" s="13">
        <v>1130</v>
      </c>
      <c r="D402" s="8" t="s">
        <v>2489</v>
      </c>
      <c r="E402" s="8" t="s">
        <v>2490</v>
      </c>
      <c r="F402" s="8" t="s">
        <v>2485</v>
      </c>
      <c r="G402" s="6" t="s">
        <v>63</v>
      </c>
      <c r="H402" s="6" t="s">
        <v>64</v>
      </c>
      <c r="I402" s="8" t="s">
        <v>217</v>
      </c>
      <c r="J402" s="9">
        <v>1</v>
      </c>
      <c r="K402" s="9">
        <v>352</v>
      </c>
      <c r="L402" s="9">
        <v>2019</v>
      </c>
      <c r="M402" s="8" t="s">
        <v>2491</v>
      </c>
      <c r="N402" s="8" t="s">
        <v>41</v>
      </c>
      <c r="O402" s="8" t="s">
        <v>97</v>
      </c>
      <c r="P402" s="6" t="s">
        <v>67</v>
      </c>
      <c r="Q402" s="8" t="s">
        <v>86</v>
      </c>
      <c r="R402" s="10" t="s">
        <v>2487</v>
      </c>
      <c r="S402" s="11"/>
      <c r="T402" s="6"/>
      <c r="U402" s="28" t="str">
        <f>HYPERLINK("https://media.infra-m.ru/1004/1004233/cover/1004233.jpg", "Обложка")</f>
        <v>Обложка</v>
      </c>
      <c r="V402" s="28" t="str">
        <f>HYPERLINK("https://znanium.com/catalog/product/2079703", "Ознакомиться")</f>
        <v>Ознакомиться</v>
      </c>
      <c r="W402" s="8" t="s">
        <v>110</v>
      </c>
      <c r="X402" s="6"/>
      <c r="Y402" s="6"/>
      <c r="Z402" s="6"/>
      <c r="AA402" s="6" t="s">
        <v>71</v>
      </c>
    </row>
    <row r="403" spans="1:27" s="4" customFormat="1" ht="51.95" customHeight="1">
      <c r="A403" s="5">
        <v>0</v>
      </c>
      <c r="B403" s="6" t="s">
        <v>2492</v>
      </c>
      <c r="C403" s="7">
        <v>724.9</v>
      </c>
      <c r="D403" s="8" t="s">
        <v>2493</v>
      </c>
      <c r="E403" s="8" t="s">
        <v>2490</v>
      </c>
      <c r="F403" s="8" t="s">
        <v>2494</v>
      </c>
      <c r="G403" s="6" t="s">
        <v>95</v>
      </c>
      <c r="H403" s="6" t="s">
        <v>64</v>
      </c>
      <c r="I403" s="8" t="s">
        <v>83</v>
      </c>
      <c r="J403" s="9">
        <v>1</v>
      </c>
      <c r="K403" s="9">
        <v>160</v>
      </c>
      <c r="L403" s="9">
        <v>2023</v>
      </c>
      <c r="M403" s="8" t="s">
        <v>2495</v>
      </c>
      <c r="N403" s="8" t="s">
        <v>41</v>
      </c>
      <c r="O403" s="8" t="s">
        <v>97</v>
      </c>
      <c r="P403" s="6" t="s">
        <v>54</v>
      </c>
      <c r="Q403" s="8" t="s">
        <v>86</v>
      </c>
      <c r="R403" s="10" t="s">
        <v>2496</v>
      </c>
      <c r="S403" s="11" t="s">
        <v>2497</v>
      </c>
      <c r="T403" s="6"/>
      <c r="U403" s="28" t="str">
        <f>HYPERLINK("https://media.infra-m.ru/1891/1891931/cover/1891931.jpg", "Обложка")</f>
        <v>Обложка</v>
      </c>
      <c r="V403" s="28" t="str">
        <f>HYPERLINK("https://znanium.com/catalog/product/1010101", "Ознакомиться")</f>
        <v>Ознакомиться</v>
      </c>
      <c r="W403" s="8" t="s">
        <v>484</v>
      </c>
      <c r="X403" s="6"/>
      <c r="Y403" s="6"/>
      <c r="Z403" s="6"/>
      <c r="AA403" s="6" t="s">
        <v>47</v>
      </c>
    </row>
    <row r="404" spans="1:27" s="4" customFormat="1" ht="51.95" customHeight="1">
      <c r="A404" s="5">
        <v>0</v>
      </c>
      <c r="B404" s="6" t="s">
        <v>2498</v>
      </c>
      <c r="C404" s="13">
        <v>1140</v>
      </c>
      <c r="D404" s="8" t="s">
        <v>2499</v>
      </c>
      <c r="E404" s="8" t="s">
        <v>2500</v>
      </c>
      <c r="F404" s="8" t="s">
        <v>2501</v>
      </c>
      <c r="G404" s="6" t="s">
        <v>63</v>
      </c>
      <c r="H404" s="6" t="s">
        <v>64</v>
      </c>
      <c r="I404" s="8" t="s">
        <v>65</v>
      </c>
      <c r="J404" s="9">
        <v>1</v>
      </c>
      <c r="K404" s="9">
        <v>253</v>
      </c>
      <c r="L404" s="9">
        <v>2023</v>
      </c>
      <c r="M404" s="8" t="s">
        <v>2502</v>
      </c>
      <c r="N404" s="8" t="s">
        <v>41</v>
      </c>
      <c r="O404" s="8" t="s">
        <v>97</v>
      </c>
      <c r="P404" s="6" t="s">
        <v>54</v>
      </c>
      <c r="Q404" s="8" t="s">
        <v>55</v>
      </c>
      <c r="R404" s="10" t="s">
        <v>98</v>
      </c>
      <c r="S404" s="11" t="s">
        <v>2503</v>
      </c>
      <c r="T404" s="6"/>
      <c r="U404" s="28" t="str">
        <f>HYPERLINK("https://media.infra-m.ru/1926/1926425/cover/1926425.jpg", "Обложка")</f>
        <v>Обложка</v>
      </c>
      <c r="V404" s="28" t="str">
        <f>HYPERLINK("https://znanium.com/catalog/product/1926425", "Ознакомиться")</f>
        <v>Ознакомиться</v>
      </c>
      <c r="W404" s="8" t="s">
        <v>400</v>
      </c>
      <c r="X404" s="6"/>
      <c r="Y404" s="6"/>
      <c r="Z404" s="6"/>
      <c r="AA404" s="6" t="s">
        <v>401</v>
      </c>
    </row>
    <row r="405" spans="1:27" s="4" customFormat="1" ht="42" customHeight="1">
      <c r="A405" s="5">
        <v>0</v>
      </c>
      <c r="B405" s="6" t="s">
        <v>2504</v>
      </c>
      <c r="C405" s="7">
        <v>324.89999999999998</v>
      </c>
      <c r="D405" s="8" t="s">
        <v>2505</v>
      </c>
      <c r="E405" s="8" t="s">
        <v>2506</v>
      </c>
      <c r="F405" s="8" t="s">
        <v>2507</v>
      </c>
      <c r="G405" s="6" t="s">
        <v>37</v>
      </c>
      <c r="H405" s="6" t="s">
        <v>38</v>
      </c>
      <c r="I405" s="8" t="s">
        <v>1385</v>
      </c>
      <c r="J405" s="9">
        <v>1</v>
      </c>
      <c r="K405" s="9">
        <v>111</v>
      </c>
      <c r="L405" s="9">
        <v>2022</v>
      </c>
      <c r="M405" s="8" t="s">
        <v>2508</v>
      </c>
      <c r="N405" s="8" t="s">
        <v>41</v>
      </c>
      <c r="O405" s="8" t="s">
        <v>97</v>
      </c>
      <c r="P405" s="6" t="s">
        <v>54</v>
      </c>
      <c r="Q405" s="8" t="s">
        <v>86</v>
      </c>
      <c r="R405" s="10" t="s">
        <v>1408</v>
      </c>
      <c r="S405" s="11"/>
      <c r="T405" s="6"/>
      <c r="U405" s="28" t="str">
        <f>HYPERLINK("https://media.infra-m.ru/1839/1839703/cover/1839703.jpg", "Обложка")</f>
        <v>Обложка</v>
      </c>
      <c r="V405" s="28" t="str">
        <f>HYPERLINK("https://znanium.com/catalog/product/1839703", "Ознакомиться")</f>
        <v>Ознакомиться</v>
      </c>
      <c r="W405" s="8"/>
      <c r="X405" s="6"/>
      <c r="Y405" s="6"/>
      <c r="Z405" s="6"/>
      <c r="AA405" s="6" t="s">
        <v>367</v>
      </c>
    </row>
    <row r="406" spans="1:27" s="4" customFormat="1" ht="51.95" customHeight="1">
      <c r="A406" s="5">
        <v>0</v>
      </c>
      <c r="B406" s="6" t="s">
        <v>2509</v>
      </c>
      <c r="C406" s="13">
        <v>1550</v>
      </c>
      <c r="D406" s="8" t="s">
        <v>2510</v>
      </c>
      <c r="E406" s="8" t="s">
        <v>2511</v>
      </c>
      <c r="F406" s="8" t="s">
        <v>2512</v>
      </c>
      <c r="G406" s="6" t="s">
        <v>63</v>
      </c>
      <c r="H406" s="6" t="s">
        <v>64</v>
      </c>
      <c r="I406" s="8" t="s">
        <v>83</v>
      </c>
      <c r="J406" s="9">
        <v>1</v>
      </c>
      <c r="K406" s="9">
        <v>345</v>
      </c>
      <c r="L406" s="9">
        <v>2023</v>
      </c>
      <c r="M406" s="8" t="s">
        <v>2513</v>
      </c>
      <c r="N406" s="8" t="s">
        <v>41</v>
      </c>
      <c r="O406" s="8" t="s">
        <v>97</v>
      </c>
      <c r="P406" s="6" t="s">
        <v>67</v>
      </c>
      <c r="Q406" s="8" t="s">
        <v>86</v>
      </c>
      <c r="R406" s="10" t="s">
        <v>227</v>
      </c>
      <c r="S406" s="11" t="s">
        <v>158</v>
      </c>
      <c r="T406" s="6"/>
      <c r="U406" s="28" t="str">
        <f>HYPERLINK("https://media.infra-m.ru/1907/1907366/cover/1907366.jpg", "Обложка")</f>
        <v>Обложка</v>
      </c>
      <c r="V406" s="28" t="str">
        <f>HYPERLINK("https://znanium.com/catalog/product/1907366", "Ознакомиться")</f>
        <v>Ознакомиться</v>
      </c>
      <c r="W406" s="8" t="s">
        <v>159</v>
      </c>
      <c r="X406" s="6"/>
      <c r="Y406" s="6"/>
      <c r="Z406" s="6"/>
      <c r="AA406" s="6" t="s">
        <v>58</v>
      </c>
    </row>
    <row r="407" spans="1:27" s="4" customFormat="1" ht="51.95" customHeight="1">
      <c r="A407" s="5">
        <v>0</v>
      </c>
      <c r="B407" s="6" t="s">
        <v>2514</v>
      </c>
      <c r="C407" s="13">
        <v>1590</v>
      </c>
      <c r="D407" s="8" t="s">
        <v>2515</v>
      </c>
      <c r="E407" s="8" t="s">
        <v>2511</v>
      </c>
      <c r="F407" s="8" t="s">
        <v>2512</v>
      </c>
      <c r="G407" s="6" t="s">
        <v>63</v>
      </c>
      <c r="H407" s="6" t="s">
        <v>64</v>
      </c>
      <c r="I407" s="8" t="s">
        <v>192</v>
      </c>
      <c r="J407" s="9">
        <v>1</v>
      </c>
      <c r="K407" s="9">
        <v>345</v>
      </c>
      <c r="L407" s="9">
        <v>2024</v>
      </c>
      <c r="M407" s="8" t="s">
        <v>2516</v>
      </c>
      <c r="N407" s="8" t="s">
        <v>41</v>
      </c>
      <c r="O407" s="8" t="s">
        <v>97</v>
      </c>
      <c r="P407" s="6" t="s">
        <v>67</v>
      </c>
      <c r="Q407" s="8" t="s">
        <v>194</v>
      </c>
      <c r="R407" s="10" t="s">
        <v>195</v>
      </c>
      <c r="S407" s="11" t="s">
        <v>2517</v>
      </c>
      <c r="T407" s="6"/>
      <c r="U407" s="28" t="str">
        <f>HYPERLINK("https://media.infra-m.ru/2078/2078394/cover/2078394.jpg", "Обложка")</f>
        <v>Обложка</v>
      </c>
      <c r="V407" s="28" t="str">
        <f>HYPERLINK("https://znanium.com/catalog/product/2078394", "Ознакомиться")</f>
        <v>Ознакомиться</v>
      </c>
      <c r="W407" s="8" t="s">
        <v>159</v>
      </c>
      <c r="X407" s="6"/>
      <c r="Y407" s="6"/>
      <c r="Z407" s="6" t="s">
        <v>197</v>
      </c>
      <c r="AA407" s="6" t="s">
        <v>687</v>
      </c>
    </row>
    <row r="408" spans="1:27" s="4" customFormat="1" ht="42" customHeight="1">
      <c r="A408" s="5">
        <v>0</v>
      </c>
      <c r="B408" s="6" t="s">
        <v>2518</v>
      </c>
      <c r="C408" s="7">
        <v>920</v>
      </c>
      <c r="D408" s="8" t="s">
        <v>2519</v>
      </c>
      <c r="E408" s="8" t="s">
        <v>2520</v>
      </c>
      <c r="F408" s="8" t="s">
        <v>2521</v>
      </c>
      <c r="G408" s="6" t="s">
        <v>63</v>
      </c>
      <c r="H408" s="6" t="s">
        <v>347</v>
      </c>
      <c r="I408" s="8"/>
      <c r="J408" s="9">
        <v>1</v>
      </c>
      <c r="K408" s="9">
        <v>240</v>
      </c>
      <c r="L408" s="9">
        <v>2022</v>
      </c>
      <c r="M408" s="8" t="s">
        <v>2522</v>
      </c>
      <c r="N408" s="8" t="s">
        <v>41</v>
      </c>
      <c r="O408" s="8" t="s">
        <v>97</v>
      </c>
      <c r="P408" s="6" t="s">
        <v>67</v>
      </c>
      <c r="Q408" s="8" t="s">
        <v>86</v>
      </c>
      <c r="R408" s="10" t="s">
        <v>422</v>
      </c>
      <c r="S408" s="11"/>
      <c r="T408" s="6"/>
      <c r="U408" s="28" t="str">
        <f>HYPERLINK("https://media.infra-m.ru/1861/1861282/cover/1861282.jpg", "Обложка")</f>
        <v>Обложка</v>
      </c>
      <c r="V408" s="28" t="str">
        <f>HYPERLINK("https://znanium.com/catalog/product/1861282", "Ознакомиться")</f>
        <v>Ознакомиться</v>
      </c>
      <c r="W408" s="8" t="s">
        <v>120</v>
      </c>
      <c r="X408" s="6"/>
      <c r="Y408" s="6"/>
      <c r="Z408" s="6"/>
      <c r="AA408" s="6" t="s">
        <v>166</v>
      </c>
    </row>
    <row r="409" spans="1:27" s="4" customFormat="1" ht="44.1" customHeight="1">
      <c r="A409" s="5">
        <v>0</v>
      </c>
      <c r="B409" s="6" t="s">
        <v>2523</v>
      </c>
      <c r="C409" s="7">
        <v>714</v>
      </c>
      <c r="D409" s="8" t="s">
        <v>2524</v>
      </c>
      <c r="E409" s="8" t="s">
        <v>2525</v>
      </c>
      <c r="F409" s="8" t="s">
        <v>2526</v>
      </c>
      <c r="G409" s="6" t="s">
        <v>37</v>
      </c>
      <c r="H409" s="6" t="s">
        <v>64</v>
      </c>
      <c r="I409" s="8" t="s">
        <v>1222</v>
      </c>
      <c r="J409" s="9">
        <v>1</v>
      </c>
      <c r="K409" s="9">
        <v>157</v>
      </c>
      <c r="L409" s="9">
        <v>2023</v>
      </c>
      <c r="M409" s="8" t="s">
        <v>2527</v>
      </c>
      <c r="N409" s="8" t="s">
        <v>41</v>
      </c>
      <c r="O409" s="8" t="s">
        <v>97</v>
      </c>
      <c r="P409" s="6" t="s">
        <v>43</v>
      </c>
      <c r="Q409" s="8" t="s">
        <v>44</v>
      </c>
      <c r="R409" s="10" t="s">
        <v>2528</v>
      </c>
      <c r="S409" s="11"/>
      <c r="T409" s="6"/>
      <c r="U409" s="28" t="str">
        <f>HYPERLINK("https://media.infra-m.ru/2021/2021465/cover/2021465.jpg", "Обложка")</f>
        <v>Обложка</v>
      </c>
      <c r="V409" s="28" t="str">
        <f>HYPERLINK("https://znanium.com/catalog/product/972316", "Ознакомиться")</f>
        <v>Ознакомиться</v>
      </c>
      <c r="W409" s="8" t="s">
        <v>110</v>
      </c>
      <c r="X409" s="6"/>
      <c r="Y409" s="6"/>
      <c r="Z409" s="6"/>
      <c r="AA409" s="6" t="s">
        <v>166</v>
      </c>
    </row>
    <row r="410" spans="1:27" s="4" customFormat="1" ht="42" customHeight="1">
      <c r="A410" s="5">
        <v>0</v>
      </c>
      <c r="B410" s="6" t="s">
        <v>2529</v>
      </c>
      <c r="C410" s="7">
        <v>870</v>
      </c>
      <c r="D410" s="8" t="s">
        <v>2530</v>
      </c>
      <c r="E410" s="8" t="s">
        <v>2531</v>
      </c>
      <c r="F410" s="8" t="s">
        <v>2532</v>
      </c>
      <c r="G410" s="6" t="s">
        <v>37</v>
      </c>
      <c r="H410" s="6" t="s">
        <v>64</v>
      </c>
      <c r="I410" s="8" t="s">
        <v>39</v>
      </c>
      <c r="J410" s="9">
        <v>1</v>
      </c>
      <c r="K410" s="9">
        <v>208</v>
      </c>
      <c r="L410" s="9">
        <v>2024</v>
      </c>
      <c r="M410" s="8" t="s">
        <v>2533</v>
      </c>
      <c r="N410" s="8" t="s">
        <v>41</v>
      </c>
      <c r="O410" s="8" t="s">
        <v>97</v>
      </c>
      <c r="P410" s="6" t="s">
        <v>43</v>
      </c>
      <c r="Q410" s="8" t="s">
        <v>44</v>
      </c>
      <c r="R410" s="10" t="s">
        <v>2534</v>
      </c>
      <c r="S410" s="11"/>
      <c r="T410" s="6"/>
      <c r="U410" s="28" t="str">
        <f>HYPERLINK("https://media.infra-m.ru/1894/1894489/cover/1894489.jpg", "Обложка")</f>
        <v>Обложка</v>
      </c>
      <c r="V410" s="28" t="str">
        <f>HYPERLINK("https://znanium.com/catalog/product/1894489", "Ознакомиться")</f>
        <v>Ознакомиться</v>
      </c>
      <c r="W410" s="8" t="s">
        <v>110</v>
      </c>
      <c r="X410" s="6"/>
      <c r="Y410" s="6"/>
      <c r="Z410" s="6"/>
      <c r="AA410" s="6" t="s">
        <v>687</v>
      </c>
    </row>
    <row r="411" spans="1:27" s="4" customFormat="1" ht="44.1" customHeight="1">
      <c r="A411" s="5">
        <v>0</v>
      </c>
      <c r="B411" s="6" t="s">
        <v>2535</v>
      </c>
      <c r="C411" s="7">
        <v>690</v>
      </c>
      <c r="D411" s="8" t="s">
        <v>2536</v>
      </c>
      <c r="E411" s="8" t="s">
        <v>2537</v>
      </c>
      <c r="F411" s="8" t="s">
        <v>2538</v>
      </c>
      <c r="G411" s="6" t="s">
        <v>95</v>
      </c>
      <c r="H411" s="6" t="s">
        <v>1432</v>
      </c>
      <c r="I411" s="8"/>
      <c r="J411" s="9">
        <v>1</v>
      </c>
      <c r="K411" s="9">
        <v>224</v>
      </c>
      <c r="L411" s="9">
        <v>2018</v>
      </c>
      <c r="M411" s="8" t="s">
        <v>2539</v>
      </c>
      <c r="N411" s="8" t="s">
        <v>41</v>
      </c>
      <c r="O411" s="8" t="s">
        <v>97</v>
      </c>
      <c r="P411" s="6" t="s">
        <v>43</v>
      </c>
      <c r="Q411" s="8" t="s">
        <v>467</v>
      </c>
      <c r="R411" s="10" t="s">
        <v>2540</v>
      </c>
      <c r="S411" s="11"/>
      <c r="T411" s="6"/>
      <c r="U411" s="28" t="str">
        <f>HYPERLINK("https://media.infra-m.ru/0966/0966352/cover/966352.jpg", "Обложка")</f>
        <v>Обложка</v>
      </c>
      <c r="V411" s="28" t="str">
        <f>HYPERLINK("https://znanium.com/catalog/product/966352", "Ознакомиться")</f>
        <v>Ознакомиться</v>
      </c>
      <c r="W411" s="8" t="s">
        <v>1211</v>
      </c>
      <c r="X411" s="6"/>
      <c r="Y411" s="6"/>
      <c r="Z411" s="6"/>
      <c r="AA411" s="6" t="s">
        <v>90</v>
      </c>
    </row>
    <row r="412" spans="1:27" s="4" customFormat="1" ht="33" customHeight="1">
      <c r="A412" s="5">
        <v>0</v>
      </c>
      <c r="B412" s="6" t="s">
        <v>2541</v>
      </c>
      <c r="C412" s="7">
        <v>991.9</v>
      </c>
      <c r="D412" s="8" t="s">
        <v>2542</v>
      </c>
      <c r="E412" s="8" t="s">
        <v>2543</v>
      </c>
      <c r="F412" s="8" t="s">
        <v>2544</v>
      </c>
      <c r="G412" s="6" t="s">
        <v>95</v>
      </c>
      <c r="H412" s="6" t="s">
        <v>347</v>
      </c>
      <c r="I412" s="8"/>
      <c r="J412" s="9">
        <v>1</v>
      </c>
      <c r="K412" s="9">
        <v>176</v>
      </c>
      <c r="L412" s="9">
        <v>2020</v>
      </c>
      <c r="M412" s="8" t="s">
        <v>2545</v>
      </c>
      <c r="N412" s="8" t="s">
        <v>41</v>
      </c>
      <c r="O412" s="8" t="s">
        <v>97</v>
      </c>
      <c r="P412" s="6" t="s">
        <v>43</v>
      </c>
      <c r="Q412" s="8" t="s">
        <v>44</v>
      </c>
      <c r="R412" s="10"/>
      <c r="S412" s="11"/>
      <c r="T412" s="6"/>
      <c r="U412" s="12"/>
      <c r="V412" s="12"/>
      <c r="W412" s="8" t="s">
        <v>324</v>
      </c>
      <c r="X412" s="6"/>
      <c r="Y412" s="6"/>
      <c r="Z412" s="6"/>
      <c r="AA412" s="6" t="s">
        <v>401</v>
      </c>
    </row>
    <row r="413" spans="1:27" s="4" customFormat="1" ht="51.95" customHeight="1">
      <c r="A413" s="5">
        <v>0</v>
      </c>
      <c r="B413" s="6" t="s">
        <v>2546</v>
      </c>
      <c r="C413" s="7">
        <v>974.9</v>
      </c>
      <c r="D413" s="8" t="s">
        <v>2547</v>
      </c>
      <c r="E413" s="8" t="s">
        <v>2548</v>
      </c>
      <c r="F413" s="8" t="s">
        <v>2549</v>
      </c>
      <c r="G413" s="6" t="s">
        <v>95</v>
      </c>
      <c r="H413" s="6" t="s">
        <v>347</v>
      </c>
      <c r="I413" s="8"/>
      <c r="J413" s="9">
        <v>1</v>
      </c>
      <c r="K413" s="9">
        <v>256</v>
      </c>
      <c r="L413" s="9">
        <v>2022</v>
      </c>
      <c r="M413" s="8" t="s">
        <v>2550</v>
      </c>
      <c r="N413" s="8" t="s">
        <v>41</v>
      </c>
      <c r="O413" s="8" t="s">
        <v>42</v>
      </c>
      <c r="P413" s="6" t="s">
        <v>54</v>
      </c>
      <c r="Q413" s="8" t="s">
        <v>86</v>
      </c>
      <c r="R413" s="10" t="s">
        <v>2551</v>
      </c>
      <c r="S413" s="11"/>
      <c r="T413" s="6"/>
      <c r="U413" s="28" t="str">
        <f>HYPERLINK("https://media.infra-m.ru/1844/1844312/cover/1844312.jpg", "Обложка")</f>
        <v>Обложка</v>
      </c>
      <c r="V413" s="28" t="str">
        <f>HYPERLINK("https://znanium.com/catalog/product/1844312", "Ознакомиться")</f>
        <v>Ознакомиться</v>
      </c>
      <c r="W413" s="8" t="s">
        <v>1180</v>
      </c>
      <c r="X413" s="6"/>
      <c r="Y413" s="6"/>
      <c r="Z413" s="6"/>
      <c r="AA413" s="6" t="s">
        <v>47</v>
      </c>
    </row>
    <row r="414" spans="1:27" s="4" customFormat="1" ht="42" customHeight="1">
      <c r="A414" s="5">
        <v>0</v>
      </c>
      <c r="B414" s="6" t="s">
        <v>2552</v>
      </c>
      <c r="C414" s="7">
        <v>974.9</v>
      </c>
      <c r="D414" s="8" t="s">
        <v>2553</v>
      </c>
      <c r="E414" s="8" t="s">
        <v>2554</v>
      </c>
      <c r="F414" s="8" t="s">
        <v>2555</v>
      </c>
      <c r="G414" s="6" t="s">
        <v>95</v>
      </c>
      <c r="H414" s="6" t="s">
        <v>52</v>
      </c>
      <c r="I414" s="8"/>
      <c r="J414" s="9">
        <v>1</v>
      </c>
      <c r="K414" s="9">
        <v>288</v>
      </c>
      <c r="L414" s="9">
        <v>2019</v>
      </c>
      <c r="M414" s="8" t="s">
        <v>2556</v>
      </c>
      <c r="N414" s="8" t="s">
        <v>41</v>
      </c>
      <c r="O414" s="8" t="s">
        <v>42</v>
      </c>
      <c r="P414" s="6" t="s">
        <v>43</v>
      </c>
      <c r="Q414" s="8" t="s">
        <v>44</v>
      </c>
      <c r="R414" s="10" t="s">
        <v>56</v>
      </c>
      <c r="S414" s="11"/>
      <c r="T414" s="6"/>
      <c r="U414" s="28" t="str">
        <f>HYPERLINK("https://media.infra-m.ru/1011/1011094/cover/1011094.jpg", "Обложка")</f>
        <v>Обложка</v>
      </c>
      <c r="V414" s="28" t="str">
        <f>HYPERLINK("https://znanium.com/catalog/product/1011094", "Ознакомиться")</f>
        <v>Ознакомиться</v>
      </c>
      <c r="W414" s="8" t="s">
        <v>324</v>
      </c>
      <c r="X414" s="6"/>
      <c r="Y414" s="6"/>
      <c r="Z414" s="6"/>
      <c r="AA414" s="6" t="s">
        <v>206</v>
      </c>
    </row>
    <row r="415" spans="1:27" s="4" customFormat="1" ht="51.95" customHeight="1">
      <c r="A415" s="5">
        <v>0</v>
      </c>
      <c r="B415" s="6" t="s">
        <v>2557</v>
      </c>
      <c r="C415" s="7">
        <v>690</v>
      </c>
      <c r="D415" s="8" t="s">
        <v>2558</v>
      </c>
      <c r="E415" s="8" t="s">
        <v>2559</v>
      </c>
      <c r="F415" s="8" t="s">
        <v>2560</v>
      </c>
      <c r="G415" s="6" t="s">
        <v>95</v>
      </c>
      <c r="H415" s="6" t="s">
        <v>52</v>
      </c>
      <c r="I415" s="8"/>
      <c r="J415" s="9">
        <v>1</v>
      </c>
      <c r="K415" s="9">
        <v>144</v>
      </c>
      <c r="L415" s="9">
        <v>2024</v>
      </c>
      <c r="M415" s="8" t="s">
        <v>2561</v>
      </c>
      <c r="N415" s="8" t="s">
        <v>41</v>
      </c>
      <c r="O415" s="8" t="s">
        <v>42</v>
      </c>
      <c r="P415" s="6" t="s">
        <v>54</v>
      </c>
      <c r="Q415" s="8" t="s">
        <v>55</v>
      </c>
      <c r="R415" s="10" t="s">
        <v>2562</v>
      </c>
      <c r="S415" s="11"/>
      <c r="T415" s="6"/>
      <c r="U415" s="28" t="str">
        <f>HYPERLINK("https://media.infra-m.ru/2082/2082404/cover/2082404.jpg", "Обложка")</f>
        <v>Обложка</v>
      </c>
      <c r="V415" s="28" t="str">
        <f>HYPERLINK("https://znanium.com/catalog/product/2082404", "Ознакомиться")</f>
        <v>Ознакомиться</v>
      </c>
      <c r="W415" s="8" t="s">
        <v>57</v>
      </c>
      <c r="X415" s="6" t="s">
        <v>1513</v>
      </c>
      <c r="Y415" s="6"/>
      <c r="Z415" s="6"/>
      <c r="AA415" s="6" t="s">
        <v>2137</v>
      </c>
    </row>
    <row r="416" spans="1:27" s="4" customFormat="1" ht="51.95" customHeight="1">
      <c r="A416" s="5">
        <v>0</v>
      </c>
      <c r="B416" s="6" t="s">
        <v>2563</v>
      </c>
      <c r="C416" s="7">
        <v>470</v>
      </c>
      <c r="D416" s="8" t="s">
        <v>2564</v>
      </c>
      <c r="E416" s="8" t="s">
        <v>2565</v>
      </c>
      <c r="F416" s="8" t="s">
        <v>2566</v>
      </c>
      <c r="G416" s="6" t="s">
        <v>37</v>
      </c>
      <c r="H416" s="6" t="s">
        <v>52</v>
      </c>
      <c r="I416" s="8"/>
      <c r="J416" s="9">
        <v>1</v>
      </c>
      <c r="K416" s="9">
        <v>96</v>
      </c>
      <c r="L416" s="9">
        <v>2022</v>
      </c>
      <c r="M416" s="8" t="s">
        <v>2567</v>
      </c>
      <c r="N416" s="8" t="s">
        <v>41</v>
      </c>
      <c r="O416" s="8" t="s">
        <v>42</v>
      </c>
      <c r="P416" s="6" t="s">
        <v>43</v>
      </c>
      <c r="Q416" s="8" t="s">
        <v>467</v>
      </c>
      <c r="R416" s="10" t="s">
        <v>2568</v>
      </c>
      <c r="S416" s="11"/>
      <c r="T416" s="6"/>
      <c r="U416" s="28" t="str">
        <f>HYPERLINK("https://media.infra-m.ru/1864/1864217/cover/1864217.jpg", "Обложка")</f>
        <v>Обложка</v>
      </c>
      <c r="V416" s="28" t="str">
        <f>HYPERLINK("https://znanium.com/catalog/product/1854737", "Ознакомиться")</f>
        <v>Ознакомиться</v>
      </c>
      <c r="W416" s="8" t="s">
        <v>57</v>
      </c>
      <c r="X416" s="6"/>
      <c r="Y416" s="6"/>
      <c r="Z416" s="6"/>
      <c r="AA416" s="6" t="s">
        <v>78</v>
      </c>
    </row>
    <row r="417" spans="1:27" s="4" customFormat="1" ht="51.95" customHeight="1">
      <c r="A417" s="5">
        <v>0</v>
      </c>
      <c r="B417" s="6" t="s">
        <v>2569</v>
      </c>
      <c r="C417" s="7">
        <v>570</v>
      </c>
      <c r="D417" s="8" t="s">
        <v>2570</v>
      </c>
      <c r="E417" s="8" t="s">
        <v>2571</v>
      </c>
      <c r="F417" s="8" t="s">
        <v>2572</v>
      </c>
      <c r="G417" s="6" t="s">
        <v>37</v>
      </c>
      <c r="H417" s="6" t="s">
        <v>64</v>
      </c>
      <c r="I417" s="8" t="s">
        <v>39</v>
      </c>
      <c r="J417" s="9">
        <v>1</v>
      </c>
      <c r="K417" s="9">
        <v>138</v>
      </c>
      <c r="L417" s="9">
        <v>2021</v>
      </c>
      <c r="M417" s="8" t="s">
        <v>2573</v>
      </c>
      <c r="N417" s="8" t="s">
        <v>41</v>
      </c>
      <c r="O417" s="8" t="s">
        <v>42</v>
      </c>
      <c r="P417" s="6" t="s">
        <v>43</v>
      </c>
      <c r="Q417" s="8" t="s">
        <v>44</v>
      </c>
      <c r="R417" s="10" t="s">
        <v>2574</v>
      </c>
      <c r="S417" s="11"/>
      <c r="T417" s="6"/>
      <c r="U417" s="28" t="str">
        <f>HYPERLINK("https://media.infra-m.ru/1290/1290966/cover/1290966.jpg", "Обложка")</f>
        <v>Обложка</v>
      </c>
      <c r="V417" s="28" t="str">
        <f>HYPERLINK("https://znanium.com/catalog/product/1290966", "Ознакомиться")</f>
        <v>Ознакомиться</v>
      </c>
      <c r="W417" s="8" t="s">
        <v>110</v>
      </c>
      <c r="X417" s="6"/>
      <c r="Y417" s="6"/>
      <c r="Z417" s="6"/>
      <c r="AA417" s="6" t="s">
        <v>166</v>
      </c>
    </row>
    <row r="418" spans="1:27" s="4" customFormat="1" ht="51.95" customHeight="1">
      <c r="A418" s="5">
        <v>0</v>
      </c>
      <c r="B418" s="6" t="s">
        <v>2575</v>
      </c>
      <c r="C418" s="7">
        <v>580</v>
      </c>
      <c r="D418" s="8" t="s">
        <v>2576</v>
      </c>
      <c r="E418" s="8" t="s">
        <v>2577</v>
      </c>
      <c r="F418" s="8" t="s">
        <v>2578</v>
      </c>
      <c r="G418" s="6" t="s">
        <v>37</v>
      </c>
      <c r="H418" s="6" t="s">
        <v>52</v>
      </c>
      <c r="I418" s="8"/>
      <c r="J418" s="9">
        <v>1</v>
      </c>
      <c r="K418" s="9">
        <v>128</v>
      </c>
      <c r="L418" s="9">
        <v>2020</v>
      </c>
      <c r="M418" s="8" t="s">
        <v>2579</v>
      </c>
      <c r="N418" s="8" t="s">
        <v>41</v>
      </c>
      <c r="O418" s="8" t="s">
        <v>42</v>
      </c>
      <c r="P418" s="6" t="s">
        <v>67</v>
      </c>
      <c r="Q418" s="8" t="s">
        <v>55</v>
      </c>
      <c r="R418" s="10" t="s">
        <v>2580</v>
      </c>
      <c r="S418" s="11"/>
      <c r="T418" s="6"/>
      <c r="U418" s="28" t="str">
        <f>HYPERLINK("https://media.infra-m.ru/1949/1949124/cover/1949124.jpg", "Обложка")</f>
        <v>Обложка</v>
      </c>
      <c r="V418" s="28" t="str">
        <f>HYPERLINK("https://znanium.com/catalog/product/960152", "Ознакомиться")</f>
        <v>Ознакомиться</v>
      </c>
      <c r="W418" s="8" t="s">
        <v>57</v>
      </c>
      <c r="X418" s="6"/>
      <c r="Y418" s="6"/>
      <c r="Z418" s="6"/>
      <c r="AA418" s="6" t="s">
        <v>71</v>
      </c>
    </row>
    <row r="419" spans="1:27" s="4" customFormat="1" ht="44.1" customHeight="1">
      <c r="A419" s="5">
        <v>0</v>
      </c>
      <c r="B419" s="6" t="s">
        <v>2581</v>
      </c>
      <c r="C419" s="13">
        <v>1370</v>
      </c>
      <c r="D419" s="8" t="s">
        <v>2582</v>
      </c>
      <c r="E419" s="8" t="s">
        <v>2583</v>
      </c>
      <c r="F419" s="8" t="s">
        <v>2584</v>
      </c>
      <c r="G419" s="6" t="s">
        <v>63</v>
      </c>
      <c r="H419" s="6" t="s">
        <v>64</v>
      </c>
      <c r="I419" s="8" t="s">
        <v>1592</v>
      </c>
      <c r="J419" s="9">
        <v>1</v>
      </c>
      <c r="K419" s="9">
        <v>304</v>
      </c>
      <c r="L419" s="9">
        <v>2023</v>
      </c>
      <c r="M419" s="8" t="s">
        <v>2585</v>
      </c>
      <c r="N419" s="8" t="s">
        <v>41</v>
      </c>
      <c r="O419" s="8" t="s">
        <v>42</v>
      </c>
      <c r="P419" s="6" t="s">
        <v>43</v>
      </c>
      <c r="Q419" s="8" t="s">
        <v>44</v>
      </c>
      <c r="R419" s="10" t="s">
        <v>2586</v>
      </c>
      <c r="S419" s="11"/>
      <c r="T419" s="6"/>
      <c r="U419" s="28" t="str">
        <f>HYPERLINK("https://media.infra-m.ru/1964/1964967/cover/1964967.jpg", "Обложка")</f>
        <v>Обложка</v>
      </c>
      <c r="V419" s="28" t="str">
        <f>HYPERLINK("https://znanium.com/catalog/product/1964967", "Ознакомиться")</f>
        <v>Ознакомиться</v>
      </c>
      <c r="W419" s="8" t="s">
        <v>2587</v>
      </c>
      <c r="X419" s="6"/>
      <c r="Y419" s="6"/>
      <c r="Z419" s="6"/>
      <c r="AA419" s="6" t="s">
        <v>166</v>
      </c>
    </row>
    <row r="420" spans="1:27" s="4" customFormat="1" ht="51.95" customHeight="1">
      <c r="A420" s="5">
        <v>0</v>
      </c>
      <c r="B420" s="6" t="s">
        <v>2588</v>
      </c>
      <c r="C420" s="7">
        <v>434.9</v>
      </c>
      <c r="D420" s="8" t="s">
        <v>2589</v>
      </c>
      <c r="E420" s="8" t="s">
        <v>2590</v>
      </c>
      <c r="F420" s="8" t="s">
        <v>75</v>
      </c>
      <c r="G420" s="6" t="s">
        <v>37</v>
      </c>
      <c r="H420" s="6" t="s">
        <v>52</v>
      </c>
      <c r="I420" s="8"/>
      <c r="J420" s="9">
        <v>1</v>
      </c>
      <c r="K420" s="9">
        <v>128</v>
      </c>
      <c r="L420" s="9">
        <v>2020</v>
      </c>
      <c r="M420" s="8" t="s">
        <v>2591</v>
      </c>
      <c r="N420" s="8" t="s">
        <v>41</v>
      </c>
      <c r="O420" s="8" t="s">
        <v>42</v>
      </c>
      <c r="P420" s="6" t="s">
        <v>54</v>
      </c>
      <c r="Q420" s="8" t="s">
        <v>55</v>
      </c>
      <c r="R420" s="10" t="s">
        <v>2562</v>
      </c>
      <c r="S420" s="11"/>
      <c r="T420" s="6"/>
      <c r="U420" s="28" t="str">
        <f>HYPERLINK("https://media.infra-m.ru/1044/1044597/cover/1044597.jpg", "Обложка")</f>
        <v>Обложка</v>
      </c>
      <c r="V420" s="28" t="str">
        <f>HYPERLINK("https://znanium.com/catalog/product/2082404", "Ознакомиться")</f>
        <v>Ознакомиться</v>
      </c>
      <c r="W420" s="8" t="s">
        <v>57</v>
      </c>
      <c r="X420" s="6"/>
      <c r="Y420" s="6"/>
      <c r="Z420" s="6"/>
      <c r="AA420" s="6" t="s">
        <v>71</v>
      </c>
    </row>
    <row r="421" spans="1:27" s="4" customFormat="1" ht="51.95" customHeight="1">
      <c r="A421" s="5">
        <v>0</v>
      </c>
      <c r="B421" s="6" t="s">
        <v>2592</v>
      </c>
      <c r="C421" s="13">
        <v>1024.9000000000001</v>
      </c>
      <c r="D421" s="8" t="s">
        <v>2593</v>
      </c>
      <c r="E421" s="8" t="s">
        <v>2594</v>
      </c>
      <c r="F421" s="8" t="s">
        <v>2595</v>
      </c>
      <c r="G421" s="6" t="s">
        <v>95</v>
      </c>
      <c r="H421" s="6" t="s">
        <v>2596</v>
      </c>
      <c r="I421" s="8"/>
      <c r="J421" s="9">
        <v>1</v>
      </c>
      <c r="K421" s="9">
        <v>320</v>
      </c>
      <c r="L421" s="9">
        <v>2019</v>
      </c>
      <c r="M421" s="8"/>
      <c r="N421" s="8" t="s">
        <v>41</v>
      </c>
      <c r="O421" s="8" t="s">
        <v>42</v>
      </c>
      <c r="P421" s="6" t="s">
        <v>67</v>
      </c>
      <c r="Q421" s="8" t="s">
        <v>55</v>
      </c>
      <c r="R421" s="10" t="s">
        <v>2597</v>
      </c>
      <c r="S421" s="11"/>
      <c r="T421" s="6"/>
      <c r="U421" s="28" t="str">
        <f>HYPERLINK("https://media.infra-m.ru/1011/1011095/cover/1011095.jpg", "Обложка")</f>
        <v>Обложка</v>
      </c>
      <c r="V421" s="28" t="str">
        <f>HYPERLINK("https://znanium.com/catalog/product/2049691", "Ознакомиться")</f>
        <v>Ознакомиться</v>
      </c>
      <c r="W421" s="8" t="s">
        <v>57</v>
      </c>
      <c r="X421" s="6"/>
      <c r="Y421" s="6"/>
      <c r="Z421" s="6"/>
      <c r="AA421" s="6" t="s">
        <v>78</v>
      </c>
    </row>
    <row r="422" spans="1:27" s="4" customFormat="1" ht="51.95" customHeight="1">
      <c r="A422" s="5">
        <v>0</v>
      </c>
      <c r="B422" s="6" t="s">
        <v>2598</v>
      </c>
      <c r="C422" s="13">
        <v>1580</v>
      </c>
      <c r="D422" s="8" t="s">
        <v>2599</v>
      </c>
      <c r="E422" s="8" t="s">
        <v>2600</v>
      </c>
      <c r="F422" s="8" t="s">
        <v>2595</v>
      </c>
      <c r="G422" s="6" t="s">
        <v>63</v>
      </c>
      <c r="H422" s="6" t="s">
        <v>52</v>
      </c>
      <c r="I422" s="8"/>
      <c r="J422" s="9">
        <v>1</v>
      </c>
      <c r="K422" s="9">
        <v>336</v>
      </c>
      <c r="L422" s="9">
        <v>2024</v>
      </c>
      <c r="M422" s="8" t="s">
        <v>2601</v>
      </c>
      <c r="N422" s="8" t="s">
        <v>41</v>
      </c>
      <c r="O422" s="8" t="s">
        <v>42</v>
      </c>
      <c r="P422" s="6" t="s">
        <v>67</v>
      </c>
      <c r="Q422" s="8" t="s">
        <v>55</v>
      </c>
      <c r="R422" s="10" t="s">
        <v>2597</v>
      </c>
      <c r="S422" s="11"/>
      <c r="T422" s="6"/>
      <c r="U422" s="28" t="str">
        <f>HYPERLINK("https://media.infra-m.ru/2049/2049691/cover/2049691.jpg", "Обложка")</f>
        <v>Обложка</v>
      </c>
      <c r="V422" s="28" t="str">
        <f>HYPERLINK("https://znanium.com/catalog/product/2049691", "Ознакомиться")</f>
        <v>Ознакомиться</v>
      </c>
      <c r="W422" s="8" t="s">
        <v>57</v>
      </c>
      <c r="X422" s="6" t="s">
        <v>2136</v>
      </c>
      <c r="Y422" s="6"/>
      <c r="Z422" s="6"/>
      <c r="AA422" s="6" t="s">
        <v>2137</v>
      </c>
    </row>
    <row r="423" spans="1:27" s="4" customFormat="1" ht="42" customHeight="1">
      <c r="A423" s="5">
        <v>0</v>
      </c>
      <c r="B423" s="6" t="s">
        <v>2602</v>
      </c>
      <c r="C423" s="7">
        <v>819.9</v>
      </c>
      <c r="D423" s="8" t="s">
        <v>2603</v>
      </c>
      <c r="E423" s="8" t="s">
        <v>2604</v>
      </c>
      <c r="F423" s="8" t="s">
        <v>2605</v>
      </c>
      <c r="G423" s="6" t="s">
        <v>63</v>
      </c>
      <c r="H423" s="6" t="s">
        <v>52</v>
      </c>
      <c r="I423" s="8"/>
      <c r="J423" s="9">
        <v>1</v>
      </c>
      <c r="K423" s="9">
        <v>208</v>
      </c>
      <c r="L423" s="9">
        <v>2022</v>
      </c>
      <c r="M423" s="8" t="s">
        <v>2606</v>
      </c>
      <c r="N423" s="8" t="s">
        <v>41</v>
      </c>
      <c r="O423" s="8" t="s">
        <v>42</v>
      </c>
      <c r="P423" s="6" t="s">
        <v>67</v>
      </c>
      <c r="Q423" s="8" t="s">
        <v>55</v>
      </c>
      <c r="R423" s="10" t="s">
        <v>2607</v>
      </c>
      <c r="S423" s="11"/>
      <c r="T423" s="6"/>
      <c r="U423" s="28" t="str">
        <f>HYPERLINK("https://media.infra-m.ru/1856/1856390/cover/1856390.jpg", "Обложка")</f>
        <v>Обложка</v>
      </c>
      <c r="V423" s="28" t="str">
        <f>HYPERLINK("https://znanium.com/catalog/product/1856390", "Ознакомиться")</f>
        <v>Ознакомиться</v>
      </c>
      <c r="W423" s="8" t="s">
        <v>57</v>
      </c>
      <c r="X423" s="6"/>
      <c r="Y423" s="6"/>
      <c r="Z423" s="6"/>
      <c r="AA423" s="6" t="s">
        <v>299</v>
      </c>
    </row>
    <row r="424" spans="1:27" s="4" customFormat="1" ht="42" customHeight="1">
      <c r="A424" s="5">
        <v>0</v>
      </c>
      <c r="B424" s="6" t="s">
        <v>2608</v>
      </c>
      <c r="C424" s="7">
        <v>790</v>
      </c>
      <c r="D424" s="8" t="s">
        <v>2609</v>
      </c>
      <c r="E424" s="8" t="s">
        <v>2610</v>
      </c>
      <c r="F424" s="8" t="s">
        <v>2605</v>
      </c>
      <c r="G424" s="6" t="s">
        <v>95</v>
      </c>
      <c r="H424" s="6" t="s">
        <v>52</v>
      </c>
      <c r="I424" s="8"/>
      <c r="J424" s="9">
        <v>1</v>
      </c>
      <c r="K424" s="9">
        <v>208</v>
      </c>
      <c r="L424" s="9">
        <v>2020</v>
      </c>
      <c r="M424" s="8" t="s">
        <v>2611</v>
      </c>
      <c r="N424" s="8" t="s">
        <v>41</v>
      </c>
      <c r="O424" s="8" t="s">
        <v>42</v>
      </c>
      <c r="P424" s="6" t="s">
        <v>67</v>
      </c>
      <c r="Q424" s="8" t="s">
        <v>55</v>
      </c>
      <c r="R424" s="10" t="s">
        <v>2607</v>
      </c>
      <c r="S424" s="11"/>
      <c r="T424" s="6"/>
      <c r="U424" s="28" t="str">
        <f>HYPERLINK("https://media.infra-m.ru/1087/1087549/cover/1087549.jpg", "Обложка")</f>
        <v>Обложка</v>
      </c>
      <c r="V424" s="28" t="str">
        <f>HYPERLINK("https://znanium.com/catalog/product/1856390", "Ознакомиться")</f>
        <v>Ознакомиться</v>
      </c>
      <c r="W424" s="8" t="s">
        <v>57</v>
      </c>
      <c r="X424" s="6"/>
      <c r="Y424" s="6"/>
      <c r="Z424" s="6"/>
      <c r="AA424" s="6" t="s">
        <v>166</v>
      </c>
    </row>
    <row r="425" spans="1:27" s="4" customFormat="1" ht="51.95" customHeight="1">
      <c r="A425" s="5">
        <v>0</v>
      </c>
      <c r="B425" s="6" t="s">
        <v>2612</v>
      </c>
      <c r="C425" s="13">
        <v>1199.9000000000001</v>
      </c>
      <c r="D425" s="8" t="s">
        <v>2613</v>
      </c>
      <c r="E425" s="8" t="s">
        <v>2614</v>
      </c>
      <c r="F425" s="8" t="s">
        <v>455</v>
      </c>
      <c r="G425" s="6" t="s">
        <v>95</v>
      </c>
      <c r="H425" s="6" t="s">
        <v>52</v>
      </c>
      <c r="I425" s="8"/>
      <c r="J425" s="9">
        <v>1</v>
      </c>
      <c r="K425" s="9">
        <v>248</v>
      </c>
      <c r="L425" s="9">
        <v>2023</v>
      </c>
      <c r="M425" s="8" t="s">
        <v>2615</v>
      </c>
      <c r="N425" s="8" t="s">
        <v>41</v>
      </c>
      <c r="O425" s="8" t="s">
        <v>42</v>
      </c>
      <c r="P425" s="6" t="s">
        <v>67</v>
      </c>
      <c r="Q425" s="8" t="s">
        <v>55</v>
      </c>
      <c r="R425" s="10" t="s">
        <v>2616</v>
      </c>
      <c r="S425" s="11"/>
      <c r="T425" s="6"/>
      <c r="U425" s="28" t="str">
        <f>HYPERLINK("https://media.infra-m.ru/1905/1905572/cover/1905572.jpg", "Обложка")</f>
        <v>Обложка</v>
      </c>
      <c r="V425" s="28" t="str">
        <f>HYPERLINK("https://znanium.com/catalog/product/1905572", "Ознакомиться")</f>
        <v>Ознакомиться</v>
      </c>
      <c r="W425" s="8" t="s">
        <v>57</v>
      </c>
      <c r="X425" s="6"/>
      <c r="Y425" s="6"/>
      <c r="Z425" s="6"/>
      <c r="AA425" s="6" t="s">
        <v>112</v>
      </c>
    </row>
    <row r="426" spans="1:27" s="4" customFormat="1" ht="51.95" customHeight="1">
      <c r="A426" s="5">
        <v>0</v>
      </c>
      <c r="B426" s="6" t="s">
        <v>2617</v>
      </c>
      <c r="C426" s="7">
        <v>664.9</v>
      </c>
      <c r="D426" s="8" t="s">
        <v>2618</v>
      </c>
      <c r="E426" s="8" t="s">
        <v>2619</v>
      </c>
      <c r="F426" s="8" t="s">
        <v>568</v>
      </c>
      <c r="G426" s="6" t="s">
        <v>37</v>
      </c>
      <c r="H426" s="6" t="s">
        <v>64</v>
      </c>
      <c r="I426" s="8" t="s">
        <v>39</v>
      </c>
      <c r="J426" s="9">
        <v>1</v>
      </c>
      <c r="K426" s="9">
        <v>147</v>
      </c>
      <c r="L426" s="9">
        <v>2023</v>
      </c>
      <c r="M426" s="8" t="s">
        <v>2620</v>
      </c>
      <c r="N426" s="8" t="s">
        <v>41</v>
      </c>
      <c r="O426" s="8" t="s">
        <v>97</v>
      </c>
      <c r="P426" s="6" t="s">
        <v>43</v>
      </c>
      <c r="Q426" s="8" t="s">
        <v>44</v>
      </c>
      <c r="R426" s="10" t="s">
        <v>2621</v>
      </c>
      <c r="S426" s="11"/>
      <c r="T426" s="6"/>
      <c r="U426" s="28" t="str">
        <f>HYPERLINK("https://media.infra-m.ru/2045/2045947/cover/2045947.jpg", "Обложка")</f>
        <v>Обложка</v>
      </c>
      <c r="V426" s="28" t="str">
        <f>HYPERLINK("https://znanium.com/catalog/product/1041934", "Ознакомиться")</f>
        <v>Ознакомиться</v>
      </c>
      <c r="W426" s="8" t="s">
        <v>571</v>
      </c>
      <c r="X426" s="6"/>
      <c r="Y426" s="6"/>
      <c r="Z426" s="6"/>
      <c r="AA426" s="6" t="s">
        <v>401</v>
      </c>
    </row>
    <row r="427" spans="1:27" s="4" customFormat="1" ht="42" customHeight="1">
      <c r="A427" s="5">
        <v>0</v>
      </c>
      <c r="B427" s="6" t="s">
        <v>2622</v>
      </c>
      <c r="C427" s="7">
        <v>860</v>
      </c>
      <c r="D427" s="8" t="s">
        <v>2623</v>
      </c>
      <c r="E427" s="8" t="s">
        <v>2624</v>
      </c>
      <c r="F427" s="8" t="s">
        <v>2625</v>
      </c>
      <c r="G427" s="6" t="s">
        <v>95</v>
      </c>
      <c r="H427" s="6" t="s">
        <v>64</v>
      </c>
      <c r="I427" s="8" t="s">
        <v>39</v>
      </c>
      <c r="J427" s="14">
        <v>0</v>
      </c>
      <c r="K427" s="9">
        <v>252</v>
      </c>
      <c r="L427" s="9">
        <v>2019</v>
      </c>
      <c r="M427" s="8" t="s">
        <v>2626</v>
      </c>
      <c r="N427" s="8" t="s">
        <v>41</v>
      </c>
      <c r="O427" s="8" t="s">
        <v>42</v>
      </c>
      <c r="P427" s="6" t="s">
        <v>43</v>
      </c>
      <c r="Q427" s="8" t="s">
        <v>44</v>
      </c>
      <c r="R427" s="10" t="s">
        <v>555</v>
      </c>
      <c r="S427" s="11"/>
      <c r="T427" s="6"/>
      <c r="U427" s="28" t="str">
        <f>HYPERLINK("https://media.infra-m.ru/0993/0993455/cover/993455.jpg", "Обложка")</f>
        <v>Обложка</v>
      </c>
      <c r="V427" s="28" t="str">
        <f>HYPERLINK("https://znanium.com/catalog/product/993455", "Ознакомиться")</f>
        <v>Ознакомиться</v>
      </c>
      <c r="W427" s="8" t="s">
        <v>324</v>
      </c>
      <c r="X427" s="6"/>
      <c r="Y427" s="6"/>
      <c r="Z427" s="6"/>
      <c r="AA427" s="6" t="s">
        <v>166</v>
      </c>
    </row>
    <row r="428" spans="1:27" s="4" customFormat="1" ht="42" customHeight="1">
      <c r="A428" s="5">
        <v>0</v>
      </c>
      <c r="B428" s="6" t="s">
        <v>2627</v>
      </c>
      <c r="C428" s="13">
        <v>1084</v>
      </c>
      <c r="D428" s="8" t="s">
        <v>2628</v>
      </c>
      <c r="E428" s="8" t="s">
        <v>2629</v>
      </c>
      <c r="F428" s="8" t="s">
        <v>2630</v>
      </c>
      <c r="G428" s="6" t="s">
        <v>63</v>
      </c>
      <c r="H428" s="6" t="s">
        <v>52</v>
      </c>
      <c r="I428" s="8"/>
      <c r="J428" s="9">
        <v>1</v>
      </c>
      <c r="K428" s="9">
        <v>240</v>
      </c>
      <c r="L428" s="9">
        <v>2022</v>
      </c>
      <c r="M428" s="8" t="s">
        <v>2631</v>
      </c>
      <c r="N428" s="8" t="s">
        <v>41</v>
      </c>
      <c r="O428" s="8" t="s">
        <v>42</v>
      </c>
      <c r="P428" s="6" t="s">
        <v>43</v>
      </c>
      <c r="Q428" s="8" t="s">
        <v>44</v>
      </c>
      <c r="R428" s="10" t="s">
        <v>2632</v>
      </c>
      <c r="S428" s="11"/>
      <c r="T428" s="6"/>
      <c r="U428" s="28" t="str">
        <f>HYPERLINK("https://media.infra-m.ru/2089/2089267/cover/2089267.jpg", "Обложка")</f>
        <v>Обложка</v>
      </c>
      <c r="V428" s="28" t="str">
        <f>HYPERLINK("https://znanium.com/catalog/product/1856796", "Ознакомиться")</f>
        <v>Ознакомиться</v>
      </c>
      <c r="W428" s="8" t="s">
        <v>1180</v>
      </c>
      <c r="X428" s="6"/>
      <c r="Y428" s="6"/>
      <c r="Z428" s="6"/>
      <c r="AA428" s="6" t="s">
        <v>166</v>
      </c>
    </row>
    <row r="429" spans="1:27" s="4" customFormat="1" ht="51.95" customHeight="1">
      <c r="A429" s="5">
        <v>0</v>
      </c>
      <c r="B429" s="6" t="s">
        <v>2633</v>
      </c>
      <c r="C429" s="7">
        <v>940</v>
      </c>
      <c r="D429" s="8" t="s">
        <v>2634</v>
      </c>
      <c r="E429" s="8" t="s">
        <v>2635</v>
      </c>
      <c r="F429" s="8" t="s">
        <v>2636</v>
      </c>
      <c r="G429" s="6" t="s">
        <v>95</v>
      </c>
      <c r="H429" s="6" t="s">
        <v>64</v>
      </c>
      <c r="I429" s="8" t="s">
        <v>39</v>
      </c>
      <c r="J429" s="9">
        <v>1</v>
      </c>
      <c r="K429" s="9">
        <v>239</v>
      </c>
      <c r="L429" s="9">
        <v>2022</v>
      </c>
      <c r="M429" s="8" t="s">
        <v>2637</v>
      </c>
      <c r="N429" s="8" t="s">
        <v>41</v>
      </c>
      <c r="O429" s="8" t="s">
        <v>42</v>
      </c>
      <c r="P429" s="6" t="s">
        <v>43</v>
      </c>
      <c r="Q429" s="8" t="s">
        <v>44</v>
      </c>
      <c r="R429" s="10" t="s">
        <v>2638</v>
      </c>
      <c r="S429" s="11"/>
      <c r="T429" s="6"/>
      <c r="U429" s="28" t="str">
        <f>HYPERLINK("https://media.infra-m.ru/1692/1692575/cover/1692575.jpg", "Обложка")</f>
        <v>Обложка</v>
      </c>
      <c r="V429" s="28" t="str">
        <f>HYPERLINK("https://znanium.com/catalog/product/1692575", "Ознакомиться")</f>
        <v>Ознакомиться</v>
      </c>
      <c r="W429" s="8"/>
      <c r="X429" s="6"/>
      <c r="Y429" s="6"/>
      <c r="Z429" s="6"/>
      <c r="AA429" s="6" t="s">
        <v>687</v>
      </c>
    </row>
    <row r="430" spans="1:27" s="4" customFormat="1" ht="51.95" customHeight="1">
      <c r="A430" s="5">
        <v>0</v>
      </c>
      <c r="B430" s="6" t="s">
        <v>2639</v>
      </c>
      <c r="C430" s="13">
        <v>1527</v>
      </c>
      <c r="D430" s="8" t="s">
        <v>2640</v>
      </c>
      <c r="E430" s="8" t="s">
        <v>2641</v>
      </c>
      <c r="F430" s="8" t="s">
        <v>2642</v>
      </c>
      <c r="G430" s="6" t="s">
        <v>37</v>
      </c>
      <c r="H430" s="6" t="s">
        <v>38</v>
      </c>
      <c r="I430" s="8" t="s">
        <v>185</v>
      </c>
      <c r="J430" s="9">
        <v>1</v>
      </c>
      <c r="K430" s="9">
        <v>165</v>
      </c>
      <c r="L430" s="9">
        <v>2024</v>
      </c>
      <c r="M430" s="8" t="s">
        <v>2643</v>
      </c>
      <c r="N430" s="8" t="s">
        <v>41</v>
      </c>
      <c r="O430" s="8" t="s">
        <v>97</v>
      </c>
      <c r="P430" s="6" t="s">
        <v>54</v>
      </c>
      <c r="Q430" s="8" t="s">
        <v>134</v>
      </c>
      <c r="R430" s="10" t="s">
        <v>1210</v>
      </c>
      <c r="S430" s="11" t="s">
        <v>2644</v>
      </c>
      <c r="T430" s="6"/>
      <c r="U430" s="28" t="str">
        <f>HYPERLINK("https://media.infra-m.ru/2052/2052313/cover/2052313.jpg", "Обложка")</f>
        <v>Обложка</v>
      </c>
      <c r="V430" s="28" t="str">
        <f>HYPERLINK("https://znanium.com/catalog/product/1255456", "Ознакомиться")</f>
        <v>Ознакомиться</v>
      </c>
      <c r="W430" s="8" t="s">
        <v>2645</v>
      </c>
      <c r="X430" s="6"/>
      <c r="Y430" s="6"/>
      <c r="Z430" s="6"/>
      <c r="AA430" s="6" t="s">
        <v>78</v>
      </c>
    </row>
    <row r="431" spans="1:27" s="4" customFormat="1" ht="51.95" customHeight="1">
      <c r="A431" s="5">
        <v>0</v>
      </c>
      <c r="B431" s="6" t="s">
        <v>2646</v>
      </c>
      <c r="C431" s="7">
        <v>364.9</v>
      </c>
      <c r="D431" s="8" t="s">
        <v>2647</v>
      </c>
      <c r="E431" s="8" t="s">
        <v>2648</v>
      </c>
      <c r="F431" s="8" t="s">
        <v>698</v>
      </c>
      <c r="G431" s="6" t="s">
        <v>37</v>
      </c>
      <c r="H431" s="6" t="s">
        <v>357</v>
      </c>
      <c r="I431" s="8" t="s">
        <v>185</v>
      </c>
      <c r="J431" s="9">
        <v>1</v>
      </c>
      <c r="K431" s="9">
        <v>120</v>
      </c>
      <c r="L431" s="9">
        <v>2019</v>
      </c>
      <c r="M431" s="8" t="s">
        <v>2649</v>
      </c>
      <c r="N431" s="8" t="s">
        <v>41</v>
      </c>
      <c r="O431" s="8" t="s">
        <v>97</v>
      </c>
      <c r="P431" s="6" t="s">
        <v>54</v>
      </c>
      <c r="Q431" s="8" t="s">
        <v>86</v>
      </c>
      <c r="R431" s="10" t="s">
        <v>730</v>
      </c>
      <c r="S431" s="11" t="s">
        <v>701</v>
      </c>
      <c r="T431" s="6"/>
      <c r="U431" s="28" t="str">
        <f>HYPERLINK("https://media.infra-m.ru/1013/1013453/cover/1013453.jpg", "Обложка")</f>
        <v>Обложка</v>
      </c>
      <c r="V431" s="28" t="str">
        <f>HYPERLINK("https://znanium.com/catalog/product/1144439", "Ознакомиться")</f>
        <v>Ознакомиться</v>
      </c>
      <c r="W431" s="8" t="s">
        <v>110</v>
      </c>
      <c r="X431" s="6"/>
      <c r="Y431" s="6"/>
      <c r="Z431" s="6"/>
      <c r="AA431" s="6" t="s">
        <v>78</v>
      </c>
    </row>
    <row r="432" spans="1:27" s="4" customFormat="1" ht="51.95" customHeight="1">
      <c r="A432" s="5">
        <v>0</v>
      </c>
      <c r="B432" s="6" t="s">
        <v>2650</v>
      </c>
      <c r="C432" s="7">
        <v>320</v>
      </c>
      <c r="D432" s="8" t="s">
        <v>2651</v>
      </c>
      <c r="E432" s="8" t="s">
        <v>2652</v>
      </c>
      <c r="F432" s="8" t="s">
        <v>2653</v>
      </c>
      <c r="G432" s="6" t="s">
        <v>37</v>
      </c>
      <c r="H432" s="6" t="s">
        <v>64</v>
      </c>
      <c r="I432" s="8" t="s">
        <v>83</v>
      </c>
      <c r="J432" s="9">
        <v>1</v>
      </c>
      <c r="K432" s="9">
        <v>120</v>
      </c>
      <c r="L432" s="9">
        <v>2017</v>
      </c>
      <c r="M432" s="8" t="s">
        <v>2654</v>
      </c>
      <c r="N432" s="8" t="s">
        <v>41</v>
      </c>
      <c r="O432" s="8" t="s">
        <v>85</v>
      </c>
      <c r="P432" s="6" t="s">
        <v>1837</v>
      </c>
      <c r="Q432" s="8" t="s">
        <v>86</v>
      </c>
      <c r="R432" s="10" t="s">
        <v>2655</v>
      </c>
      <c r="S432" s="11" t="s">
        <v>2656</v>
      </c>
      <c r="T432" s="6"/>
      <c r="U432" s="28" t="str">
        <f>HYPERLINK("https://media.infra-m.ru/0767/0767822/cover/767822.jpg", "Обложка")</f>
        <v>Обложка</v>
      </c>
      <c r="V432" s="28" t="str">
        <f>HYPERLINK("https://znanium.com/catalog/product/1744674", "Ознакомиться")</f>
        <v>Ознакомиться</v>
      </c>
      <c r="W432" s="8"/>
      <c r="X432" s="6"/>
      <c r="Y432" s="6"/>
      <c r="Z432" s="6"/>
      <c r="AA432" s="6" t="s">
        <v>1894</v>
      </c>
    </row>
    <row r="433" spans="1:27" s="4" customFormat="1" ht="51.95" customHeight="1">
      <c r="A433" s="5">
        <v>0</v>
      </c>
      <c r="B433" s="6" t="s">
        <v>2657</v>
      </c>
      <c r="C433" s="7">
        <v>604</v>
      </c>
      <c r="D433" s="8" t="s">
        <v>2658</v>
      </c>
      <c r="E433" s="8" t="s">
        <v>2659</v>
      </c>
      <c r="F433" s="8" t="s">
        <v>2660</v>
      </c>
      <c r="G433" s="6" t="s">
        <v>37</v>
      </c>
      <c r="H433" s="6" t="s">
        <v>64</v>
      </c>
      <c r="I433" s="8" t="s">
        <v>83</v>
      </c>
      <c r="J433" s="9">
        <v>1</v>
      </c>
      <c r="K433" s="9">
        <v>131</v>
      </c>
      <c r="L433" s="9">
        <v>2024</v>
      </c>
      <c r="M433" s="8" t="s">
        <v>2661</v>
      </c>
      <c r="N433" s="8" t="s">
        <v>41</v>
      </c>
      <c r="O433" s="8" t="s">
        <v>85</v>
      </c>
      <c r="P433" s="6" t="s">
        <v>54</v>
      </c>
      <c r="Q433" s="8" t="s">
        <v>86</v>
      </c>
      <c r="R433" s="10" t="s">
        <v>2655</v>
      </c>
      <c r="S433" s="11" t="s">
        <v>646</v>
      </c>
      <c r="T433" s="6"/>
      <c r="U433" s="28" t="str">
        <f>HYPERLINK("https://media.infra-m.ru/2053/2053973/cover/2053973.jpg", "Обложка")</f>
        <v>Обложка</v>
      </c>
      <c r="V433" s="28" t="str">
        <f>HYPERLINK("https://znanium.com/catalog/product/1744674", "Ознакомиться")</f>
        <v>Ознакомиться</v>
      </c>
      <c r="W433" s="8"/>
      <c r="X433" s="6"/>
      <c r="Y433" s="6"/>
      <c r="Z433" s="6"/>
      <c r="AA433" s="6" t="s">
        <v>1025</v>
      </c>
    </row>
    <row r="434" spans="1:27" s="4" customFormat="1" ht="51.95" customHeight="1">
      <c r="A434" s="5">
        <v>0</v>
      </c>
      <c r="B434" s="6" t="s">
        <v>2662</v>
      </c>
      <c r="C434" s="13">
        <v>1960</v>
      </c>
      <c r="D434" s="8" t="s">
        <v>2663</v>
      </c>
      <c r="E434" s="8" t="s">
        <v>2664</v>
      </c>
      <c r="F434" s="8" t="s">
        <v>2665</v>
      </c>
      <c r="G434" s="6" t="s">
        <v>95</v>
      </c>
      <c r="H434" s="6" t="s">
        <v>64</v>
      </c>
      <c r="I434" s="8" t="s">
        <v>192</v>
      </c>
      <c r="J434" s="9">
        <v>1</v>
      </c>
      <c r="K434" s="9">
        <v>541</v>
      </c>
      <c r="L434" s="9">
        <v>2021</v>
      </c>
      <c r="M434" s="8" t="s">
        <v>2666</v>
      </c>
      <c r="N434" s="8" t="s">
        <v>41</v>
      </c>
      <c r="O434" s="8" t="s">
        <v>97</v>
      </c>
      <c r="P434" s="6" t="s">
        <v>54</v>
      </c>
      <c r="Q434" s="8" t="s">
        <v>194</v>
      </c>
      <c r="R434" s="10" t="s">
        <v>195</v>
      </c>
      <c r="S434" s="11" t="s">
        <v>2667</v>
      </c>
      <c r="T434" s="6"/>
      <c r="U434" s="28" t="str">
        <f>HYPERLINK("https://media.infra-m.ru/1048/1048802/cover/1048802.jpg", "Обложка")</f>
        <v>Обложка</v>
      </c>
      <c r="V434" s="28" t="str">
        <f>HYPERLINK("https://znanium.com/catalog/product/1048802", "Ознакомиться")</f>
        <v>Ознакомиться</v>
      </c>
      <c r="W434" s="8" t="s">
        <v>564</v>
      </c>
      <c r="X434" s="6"/>
      <c r="Y434" s="6"/>
      <c r="Z434" s="6"/>
      <c r="AA434" s="6" t="s">
        <v>441</v>
      </c>
    </row>
    <row r="435" spans="1:27" s="4" customFormat="1" ht="51.95" customHeight="1">
      <c r="A435" s="5">
        <v>0</v>
      </c>
      <c r="B435" s="6" t="s">
        <v>2668</v>
      </c>
      <c r="C435" s="13">
        <v>1480</v>
      </c>
      <c r="D435" s="8" t="s">
        <v>2669</v>
      </c>
      <c r="E435" s="8" t="s">
        <v>2670</v>
      </c>
      <c r="F435" s="8" t="s">
        <v>2671</v>
      </c>
      <c r="G435" s="6" t="s">
        <v>63</v>
      </c>
      <c r="H435" s="6" t="s">
        <v>64</v>
      </c>
      <c r="I435" s="8" t="s">
        <v>192</v>
      </c>
      <c r="J435" s="9">
        <v>1</v>
      </c>
      <c r="K435" s="9">
        <v>352</v>
      </c>
      <c r="L435" s="9">
        <v>2022</v>
      </c>
      <c r="M435" s="8" t="s">
        <v>2672</v>
      </c>
      <c r="N435" s="8" t="s">
        <v>41</v>
      </c>
      <c r="O435" s="8" t="s">
        <v>97</v>
      </c>
      <c r="P435" s="6" t="s">
        <v>67</v>
      </c>
      <c r="Q435" s="8" t="s">
        <v>194</v>
      </c>
      <c r="R435" s="10" t="s">
        <v>195</v>
      </c>
      <c r="S435" s="11" t="s">
        <v>2673</v>
      </c>
      <c r="T435" s="6"/>
      <c r="U435" s="28" t="str">
        <f>HYPERLINK("https://media.infra-m.ru/1872/1872523/cover/1872523.jpg", "Обложка")</f>
        <v>Обложка</v>
      </c>
      <c r="V435" s="28" t="str">
        <f>HYPERLINK("https://znanium.com/catalog/product/1872523", "Ознакомиться")</f>
        <v>Ознакомиться</v>
      </c>
      <c r="W435" s="8" t="s">
        <v>647</v>
      </c>
      <c r="X435" s="6"/>
      <c r="Y435" s="6"/>
      <c r="Z435" s="6"/>
      <c r="AA435" s="6" t="s">
        <v>401</v>
      </c>
    </row>
    <row r="436" spans="1:27" s="4" customFormat="1" ht="51.95" customHeight="1">
      <c r="A436" s="5">
        <v>0</v>
      </c>
      <c r="B436" s="6" t="s">
        <v>2674</v>
      </c>
      <c r="C436" s="13">
        <v>1210</v>
      </c>
      <c r="D436" s="8" t="s">
        <v>2675</v>
      </c>
      <c r="E436" s="8" t="s">
        <v>2676</v>
      </c>
      <c r="F436" s="8" t="s">
        <v>568</v>
      </c>
      <c r="G436" s="6" t="s">
        <v>63</v>
      </c>
      <c r="H436" s="6" t="s">
        <v>64</v>
      </c>
      <c r="I436" s="8" t="s">
        <v>192</v>
      </c>
      <c r="J436" s="9">
        <v>1</v>
      </c>
      <c r="K436" s="9">
        <v>319</v>
      </c>
      <c r="L436" s="9">
        <v>2022</v>
      </c>
      <c r="M436" s="8" t="s">
        <v>2677</v>
      </c>
      <c r="N436" s="8" t="s">
        <v>41</v>
      </c>
      <c r="O436" s="8" t="s">
        <v>97</v>
      </c>
      <c r="P436" s="6" t="s">
        <v>67</v>
      </c>
      <c r="Q436" s="8" t="s">
        <v>194</v>
      </c>
      <c r="R436" s="10" t="s">
        <v>195</v>
      </c>
      <c r="S436" s="11" t="s">
        <v>2678</v>
      </c>
      <c r="T436" s="6"/>
      <c r="U436" s="28" t="str">
        <f>HYPERLINK("https://media.infra-m.ru/1854/1854213/cover/1854213.jpg", "Обложка")</f>
        <v>Обложка</v>
      </c>
      <c r="V436" s="28" t="str">
        <f>HYPERLINK("https://znanium.com/catalog/product/1854213", "Ознакомиться")</f>
        <v>Ознакомиться</v>
      </c>
      <c r="W436" s="8" t="s">
        <v>571</v>
      </c>
      <c r="X436" s="6"/>
      <c r="Y436" s="6"/>
      <c r="Z436" s="6"/>
      <c r="AA436" s="6" t="s">
        <v>166</v>
      </c>
    </row>
    <row r="437" spans="1:27" s="4" customFormat="1" ht="51.95" customHeight="1">
      <c r="A437" s="5">
        <v>0</v>
      </c>
      <c r="B437" s="6" t="s">
        <v>2679</v>
      </c>
      <c r="C437" s="7">
        <v>920</v>
      </c>
      <c r="D437" s="8" t="s">
        <v>2680</v>
      </c>
      <c r="E437" s="8" t="s">
        <v>2681</v>
      </c>
      <c r="F437" s="8" t="s">
        <v>2682</v>
      </c>
      <c r="G437" s="6" t="s">
        <v>63</v>
      </c>
      <c r="H437" s="6" t="s">
        <v>64</v>
      </c>
      <c r="I437" s="8" t="s">
        <v>192</v>
      </c>
      <c r="J437" s="9">
        <v>1</v>
      </c>
      <c r="K437" s="9">
        <v>241</v>
      </c>
      <c r="L437" s="9">
        <v>2022</v>
      </c>
      <c r="M437" s="8" t="s">
        <v>2683</v>
      </c>
      <c r="N437" s="8" t="s">
        <v>41</v>
      </c>
      <c r="O437" s="8" t="s">
        <v>97</v>
      </c>
      <c r="P437" s="6" t="s">
        <v>67</v>
      </c>
      <c r="Q437" s="8" t="s">
        <v>194</v>
      </c>
      <c r="R437" s="10" t="s">
        <v>195</v>
      </c>
      <c r="S437" s="11" t="s">
        <v>2684</v>
      </c>
      <c r="T437" s="6"/>
      <c r="U437" s="28" t="str">
        <f>HYPERLINK("https://media.infra-m.ru/1854/1854216/cover/1854216.jpg", "Обложка")</f>
        <v>Обложка</v>
      </c>
      <c r="V437" s="28" t="str">
        <f>HYPERLINK("https://znanium.com/catalog/product/1854216", "Ознакомиться")</f>
        <v>Ознакомиться</v>
      </c>
      <c r="W437" s="8" t="s">
        <v>571</v>
      </c>
      <c r="X437" s="6"/>
      <c r="Y437" s="6"/>
      <c r="Z437" s="6"/>
      <c r="AA437" s="6" t="s">
        <v>401</v>
      </c>
    </row>
    <row r="438" spans="1:27" s="4" customFormat="1" ht="44.1" customHeight="1">
      <c r="A438" s="5">
        <v>0</v>
      </c>
      <c r="B438" s="6" t="s">
        <v>2685</v>
      </c>
      <c r="C438" s="13">
        <v>1430</v>
      </c>
      <c r="D438" s="8" t="s">
        <v>2686</v>
      </c>
      <c r="E438" s="8" t="s">
        <v>2687</v>
      </c>
      <c r="F438" s="8" t="s">
        <v>2688</v>
      </c>
      <c r="G438" s="6" t="s">
        <v>95</v>
      </c>
      <c r="H438" s="6" t="s">
        <v>64</v>
      </c>
      <c r="I438" s="8" t="s">
        <v>185</v>
      </c>
      <c r="J438" s="9">
        <v>1</v>
      </c>
      <c r="K438" s="9">
        <v>309</v>
      </c>
      <c r="L438" s="9">
        <v>2023</v>
      </c>
      <c r="M438" s="8" t="s">
        <v>2689</v>
      </c>
      <c r="N438" s="8" t="s">
        <v>41</v>
      </c>
      <c r="O438" s="8" t="s">
        <v>97</v>
      </c>
      <c r="P438" s="6" t="s">
        <v>67</v>
      </c>
      <c r="Q438" s="8" t="s">
        <v>134</v>
      </c>
      <c r="R438" s="10" t="s">
        <v>2690</v>
      </c>
      <c r="S438" s="11"/>
      <c r="T438" s="6"/>
      <c r="U438" s="28" t="str">
        <f>HYPERLINK("https://media.infra-m.ru/1831/1831578/cover/1831578.jpg", "Обложка")</f>
        <v>Обложка</v>
      </c>
      <c r="V438" s="28" t="str">
        <f>HYPERLINK("https://znanium.com/catalog/product/1831578", "Ознакомиться")</f>
        <v>Ознакомиться</v>
      </c>
      <c r="W438" s="8" t="s">
        <v>159</v>
      </c>
      <c r="X438" s="6" t="s">
        <v>2136</v>
      </c>
      <c r="Y438" s="6"/>
      <c r="Z438" s="6"/>
      <c r="AA438" s="6" t="s">
        <v>112</v>
      </c>
    </row>
    <row r="439" spans="1:27" s="4" customFormat="1" ht="51.95" customHeight="1">
      <c r="A439" s="5">
        <v>0</v>
      </c>
      <c r="B439" s="6" t="s">
        <v>2691</v>
      </c>
      <c r="C439" s="7">
        <v>990</v>
      </c>
      <c r="D439" s="8" t="s">
        <v>2692</v>
      </c>
      <c r="E439" s="8" t="s">
        <v>2693</v>
      </c>
      <c r="F439" s="8" t="s">
        <v>2694</v>
      </c>
      <c r="G439" s="6" t="s">
        <v>37</v>
      </c>
      <c r="H439" s="6" t="s">
        <v>64</v>
      </c>
      <c r="I439" s="8" t="s">
        <v>39</v>
      </c>
      <c r="J439" s="9">
        <v>1</v>
      </c>
      <c r="K439" s="9">
        <v>219</v>
      </c>
      <c r="L439" s="9">
        <v>2020</v>
      </c>
      <c r="M439" s="8" t="s">
        <v>2695</v>
      </c>
      <c r="N439" s="8" t="s">
        <v>41</v>
      </c>
      <c r="O439" s="8" t="s">
        <v>97</v>
      </c>
      <c r="P439" s="6" t="s">
        <v>43</v>
      </c>
      <c r="Q439" s="8" t="s">
        <v>44</v>
      </c>
      <c r="R439" s="10" t="s">
        <v>2696</v>
      </c>
      <c r="S439" s="11"/>
      <c r="T439" s="6"/>
      <c r="U439" s="28" t="str">
        <f>HYPERLINK("https://media.infra-m.ru/1078/1078334/cover/1078334.jpg", "Обложка")</f>
        <v>Обложка</v>
      </c>
      <c r="V439" s="28" t="str">
        <f>HYPERLINK("https://znanium.com/catalog/product/1078334", "Ознакомиться")</f>
        <v>Ознакомиться</v>
      </c>
      <c r="W439" s="8" t="s">
        <v>110</v>
      </c>
      <c r="X439" s="6"/>
      <c r="Y439" s="6"/>
      <c r="Z439" s="6"/>
      <c r="AA439" s="6" t="s">
        <v>360</v>
      </c>
    </row>
    <row r="440" spans="1:27" s="4" customFormat="1" ht="42" customHeight="1">
      <c r="A440" s="5">
        <v>0</v>
      </c>
      <c r="B440" s="6" t="s">
        <v>2697</v>
      </c>
      <c r="C440" s="7">
        <v>620</v>
      </c>
      <c r="D440" s="8" t="s">
        <v>2698</v>
      </c>
      <c r="E440" s="8" t="s">
        <v>2699</v>
      </c>
      <c r="F440" s="8" t="s">
        <v>2700</v>
      </c>
      <c r="G440" s="6" t="s">
        <v>37</v>
      </c>
      <c r="H440" s="6" t="s">
        <v>347</v>
      </c>
      <c r="I440" s="8"/>
      <c r="J440" s="9">
        <v>1</v>
      </c>
      <c r="K440" s="9">
        <v>180</v>
      </c>
      <c r="L440" s="9">
        <v>2020</v>
      </c>
      <c r="M440" s="8" t="s">
        <v>2701</v>
      </c>
      <c r="N440" s="8" t="s">
        <v>41</v>
      </c>
      <c r="O440" s="8" t="s">
        <v>97</v>
      </c>
      <c r="P440" s="6" t="s">
        <v>67</v>
      </c>
      <c r="Q440" s="8" t="s">
        <v>55</v>
      </c>
      <c r="R440" s="10" t="s">
        <v>686</v>
      </c>
      <c r="S440" s="11"/>
      <c r="T440" s="6"/>
      <c r="U440" s="28" t="str">
        <f>HYPERLINK("https://media.infra-m.ru/1080/1080550/cover/1080550.jpg", "Обложка")</f>
        <v>Обложка</v>
      </c>
      <c r="V440" s="28" t="str">
        <f>HYPERLINK("https://znanium.com/catalog/product/1080550", "Ознакомиться")</f>
        <v>Ознакомиться</v>
      </c>
      <c r="W440" s="8" t="s">
        <v>110</v>
      </c>
      <c r="X440" s="6"/>
      <c r="Y440" s="6"/>
      <c r="Z440" s="6"/>
      <c r="AA440" s="6" t="s">
        <v>71</v>
      </c>
    </row>
    <row r="441" spans="1:27" s="4" customFormat="1" ht="51.95" customHeight="1">
      <c r="A441" s="5">
        <v>0</v>
      </c>
      <c r="B441" s="6" t="s">
        <v>2702</v>
      </c>
      <c r="C441" s="7">
        <v>934.9</v>
      </c>
      <c r="D441" s="8" t="s">
        <v>2703</v>
      </c>
      <c r="E441" s="8" t="s">
        <v>2704</v>
      </c>
      <c r="F441" s="8" t="s">
        <v>2705</v>
      </c>
      <c r="G441" s="6" t="s">
        <v>95</v>
      </c>
      <c r="H441" s="6" t="s">
        <v>1101</v>
      </c>
      <c r="I441" s="8" t="s">
        <v>83</v>
      </c>
      <c r="J441" s="9">
        <v>1</v>
      </c>
      <c r="K441" s="9">
        <v>245</v>
      </c>
      <c r="L441" s="9">
        <v>2022</v>
      </c>
      <c r="M441" s="8" t="s">
        <v>2706</v>
      </c>
      <c r="N441" s="8" t="s">
        <v>41</v>
      </c>
      <c r="O441" s="8" t="s">
        <v>97</v>
      </c>
      <c r="P441" s="6" t="s">
        <v>54</v>
      </c>
      <c r="Q441" s="8" t="s">
        <v>86</v>
      </c>
      <c r="R441" s="10" t="s">
        <v>2707</v>
      </c>
      <c r="S441" s="11" t="s">
        <v>2708</v>
      </c>
      <c r="T441" s="6"/>
      <c r="U441" s="28" t="str">
        <f>HYPERLINK("https://media.infra-m.ru/1840/1840481/cover/1840481.jpg", "Обложка")</f>
        <v>Обложка</v>
      </c>
      <c r="V441" s="28" t="str">
        <f>HYPERLINK("https://znanium.com/catalog/product/1002233", "Ознакомиться")</f>
        <v>Ознакомиться</v>
      </c>
      <c r="W441" s="8" t="s">
        <v>324</v>
      </c>
      <c r="X441" s="6"/>
      <c r="Y441" s="6"/>
      <c r="Z441" s="6"/>
      <c r="AA441" s="6" t="s">
        <v>469</v>
      </c>
    </row>
    <row r="442" spans="1:27" s="4" customFormat="1" ht="51.95" customHeight="1">
      <c r="A442" s="5">
        <v>0</v>
      </c>
      <c r="B442" s="6" t="s">
        <v>2709</v>
      </c>
      <c r="C442" s="7">
        <v>860</v>
      </c>
      <c r="D442" s="8" t="s">
        <v>2710</v>
      </c>
      <c r="E442" s="8" t="s">
        <v>2711</v>
      </c>
      <c r="F442" s="8" t="s">
        <v>2712</v>
      </c>
      <c r="G442" s="6" t="s">
        <v>37</v>
      </c>
      <c r="H442" s="6" t="s">
        <v>64</v>
      </c>
      <c r="I442" s="8" t="s">
        <v>39</v>
      </c>
      <c r="J442" s="9">
        <v>1</v>
      </c>
      <c r="K442" s="9">
        <v>225</v>
      </c>
      <c r="L442" s="9">
        <v>2021</v>
      </c>
      <c r="M442" s="8" t="s">
        <v>2713</v>
      </c>
      <c r="N442" s="8" t="s">
        <v>41</v>
      </c>
      <c r="O442" s="8" t="s">
        <v>42</v>
      </c>
      <c r="P442" s="6" t="s">
        <v>43</v>
      </c>
      <c r="Q442" s="8" t="s">
        <v>44</v>
      </c>
      <c r="R442" s="10" t="s">
        <v>2714</v>
      </c>
      <c r="S442" s="11"/>
      <c r="T442" s="6"/>
      <c r="U442" s="28" t="str">
        <f>HYPERLINK("https://media.infra-m.ru/1383/1383687/cover/1383687.jpg", "Обложка")</f>
        <v>Обложка</v>
      </c>
      <c r="V442" s="28" t="str">
        <f>HYPERLINK("https://znanium.com/catalog/product/1383687", "Ознакомиться")</f>
        <v>Ознакомиться</v>
      </c>
      <c r="W442" s="8" t="s">
        <v>1537</v>
      </c>
      <c r="X442" s="6"/>
      <c r="Y442" s="6"/>
      <c r="Z442" s="6"/>
      <c r="AA442" s="6" t="s">
        <v>58</v>
      </c>
    </row>
    <row r="443" spans="1:27" s="4" customFormat="1" ht="42" customHeight="1">
      <c r="A443" s="5">
        <v>0</v>
      </c>
      <c r="B443" s="6" t="s">
        <v>2715</v>
      </c>
      <c r="C443" s="7">
        <v>900</v>
      </c>
      <c r="D443" s="8" t="s">
        <v>2716</v>
      </c>
      <c r="E443" s="8" t="s">
        <v>2717</v>
      </c>
      <c r="F443" s="8" t="s">
        <v>2718</v>
      </c>
      <c r="G443" s="6" t="s">
        <v>37</v>
      </c>
      <c r="H443" s="6" t="s">
        <v>64</v>
      </c>
      <c r="I443" s="8" t="s">
        <v>39</v>
      </c>
      <c r="J443" s="9">
        <v>1</v>
      </c>
      <c r="K443" s="9">
        <v>194</v>
      </c>
      <c r="L443" s="9">
        <v>2024</v>
      </c>
      <c r="M443" s="8" t="s">
        <v>2719</v>
      </c>
      <c r="N443" s="8" t="s">
        <v>41</v>
      </c>
      <c r="O443" s="8" t="s">
        <v>97</v>
      </c>
      <c r="P443" s="6" t="s">
        <v>43</v>
      </c>
      <c r="Q443" s="8" t="s">
        <v>44</v>
      </c>
      <c r="R443" s="10" t="s">
        <v>98</v>
      </c>
      <c r="S443" s="11"/>
      <c r="T443" s="6"/>
      <c r="U443" s="28" t="str">
        <f>HYPERLINK("https://media.infra-m.ru/2106/2106199/cover/2106199.jpg", "Обложка")</f>
        <v>Обложка</v>
      </c>
      <c r="V443" s="28" t="str">
        <f>HYPERLINK("https://znanium.com/catalog/product/2106199", "Ознакомиться")</f>
        <v>Ознакомиться</v>
      </c>
      <c r="W443" s="8" t="s">
        <v>70</v>
      </c>
      <c r="X443" s="6"/>
      <c r="Y443" s="6"/>
      <c r="Z443" s="6"/>
      <c r="AA443" s="6" t="s">
        <v>47</v>
      </c>
    </row>
    <row r="444" spans="1:27" s="4" customFormat="1" ht="42" customHeight="1">
      <c r="A444" s="5">
        <v>0</v>
      </c>
      <c r="B444" s="6" t="s">
        <v>2720</v>
      </c>
      <c r="C444" s="7">
        <v>334.9</v>
      </c>
      <c r="D444" s="8" t="s">
        <v>2721</v>
      </c>
      <c r="E444" s="8" t="s">
        <v>2722</v>
      </c>
      <c r="F444" s="8" t="s">
        <v>2723</v>
      </c>
      <c r="G444" s="6" t="s">
        <v>37</v>
      </c>
      <c r="H444" s="6" t="s">
        <v>125</v>
      </c>
      <c r="I444" s="8" t="s">
        <v>1172</v>
      </c>
      <c r="J444" s="9">
        <v>1</v>
      </c>
      <c r="K444" s="9">
        <v>106</v>
      </c>
      <c r="L444" s="9">
        <v>2018</v>
      </c>
      <c r="M444" s="8" t="s">
        <v>2724</v>
      </c>
      <c r="N444" s="8" t="s">
        <v>41</v>
      </c>
      <c r="O444" s="8" t="s">
        <v>97</v>
      </c>
      <c r="P444" s="6" t="s">
        <v>43</v>
      </c>
      <c r="Q444" s="8" t="s">
        <v>44</v>
      </c>
      <c r="R444" s="10" t="s">
        <v>422</v>
      </c>
      <c r="S444" s="11"/>
      <c r="T444" s="6"/>
      <c r="U444" s="28" t="str">
        <f>HYPERLINK("https://media.infra-m.ru/0959/0959884/cover/959884.jpg", "Обложка")</f>
        <v>Обложка</v>
      </c>
      <c r="V444" s="28" t="str">
        <f>HYPERLINK("https://znanium.com/catalog/product/959884", "Ознакомиться")</f>
        <v>Ознакомиться</v>
      </c>
      <c r="W444" s="8" t="s">
        <v>110</v>
      </c>
      <c r="X444" s="6"/>
      <c r="Y444" s="6"/>
      <c r="Z444" s="6"/>
      <c r="AA444" s="6" t="s">
        <v>90</v>
      </c>
    </row>
    <row r="445" spans="1:27" s="4" customFormat="1" ht="44.1" customHeight="1">
      <c r="A445" s="5">
        <v>0</v>
      </c>
      <c r="B445" s="6" t="s">
        <v>2725</v>
      </c>
      <c r="C445" s="7">
        <v>894.9</v>
      </c>
      <c r="D445" s="8" t="s">
        <v>2726</v>
      </c>
      <c r="E445" s="8" t="s">
        <v>2727</v>
      </c>
      <c r="F445" s="8" t="s">
        <v>2728</v>
      </c>
      <c r="G445" s="6" t="s">
        <v>37</v>
      </c>
      <c r="H445" s="6" t="s">
        <v>125</v>
      </c>
      <c r="I445" s="8" t="s">
        <v>1172</v>
      </c>
      <c r="J445" s="9">
        <v>1</v>
      </c>
      <c r="K445" s="9">
        <v>157</v>
      </c>
      <c r="L445" s="9">
        <v>2020</v>
      </c>
      <c r="M445" s="8" t="s">
        <v>2729</v>
      </c>
      <c r="N445" s="8" t="s">
        <v>41</v>
      </c>
      <c r="O445" s="8" t="s">
        <v>97</v>
      </c>
      <c r="P445" s="6" t="s">
        <v>43</v>
      </c>
      <c r="Q445" s="8" t="s">
        <v>467</v>
      </c>
      <c r="R445" s="10" t="s">
        <v>227</v>
      </c>
      <c r="S445" s="11"/>
      <c r="T445" s="6"/>
      <c r="U445" s="28" t="str">
        <f>HYPERLINK("https://media.infra-m.ru/1081/1081923/cover/1081923.jpg", "Обложка")</f>
        <v>Обложка</v>
      </c>
      <c r="V445" s="28" t="str">
        <f>HYPERLINK("https://znanium.com/catalog/product/882538", "Ознакомиться")</f>
        <v>Ознакомиться</v>
      </c>
      <c r="W445" s="8" t="s">
        <v>110</v>
      </c>
      <c r="X445" s="6"/>
      <c r="Y445" s="6"/>
      <c r="Z445" s="6"/>
      <c r="AA445" s="6" t="s">
        <v>317</v>
      </c>
    </row>
    <row r="446" spans="1:27" s="4" customFormat="1" ht="51.95" customHeight="1">
      <c r="A446" s="5">
        <v>0</v>
      </c>
      <c r="B446" s="6" t="s">
        <v>2730</v>
      </c>
      <c r="C446" s="7">
        <v>680</v>
      </c>
      <c r="D446" s="8" t="s">
        <v>2731</v>
      </c>
      <c r="E446" s="8" t="s">
        <v>2732</v>
      </c>
      <c r="F446" s="8" t="s">
        <v>2733</v>
      </c>
      <c r="G446" s="6" t="s">
        <v>37</v>
      </c>
      <c r="H446" s="6" t="s">
        <v>64</v>
      </c>
      <c r="I446" s="8" t="s">
        <v>39</v>
      </c>
      <c r="J446" s="9">
        <v>1</v>
      </c>
      <c r="K446" s="9">
        <v>175</v>
      </c>
      <c r="L446" s="9">
        <v>2022</v>
      </c>
      <c r="M446" s="8" t="s">
        <v>2734</v>
      </c>
      <c r="N446" s="8" t="s">
        <v>41</v>
      </c>
      <c r="O446" s="8" t="s">
        <v>97</v>
      </c>
      <c r="P446" s="6" t="s">
        <v>43</v>
      </c>
      <c r="Q446" s="8" t="s">
        <v>44</v>
      </c>
      <c r="R446" s="10" t="s">
        <v>1210</v>
      </c>
      <c r="S446" s="11"/>
      <c r="T446" s="6"/>
      <c r="U446" s="28" t="str">
        <f>HYPERLINK("https://media.infra-m.ru/1851/1851803/cover/1851803.jpg", "Обложка")</f>
        <v>Обложка</v>
      </c>
      <c r="V446" s="28" t="str">
        <f>HYPERLINK("https://znanium.com/catalog/product/1851803", "Ознакомиться")</f>
        <v>Ознакомиться</v>
      </c>
      <c r="W446" s="8" t="s">
        <v>2191</v>
      </c>
      <c r="X446" s="6"/>
      <c r="Y446" s="6"/>
      <c r="Z446" s="6"/>
      <c r="AA446" s="6" t="s">
        <v>71</v>
      </c>
    </row>
    <row r="447" spans="1:27" s="4" customFormat="1" ht="51.95" customHeight="1">
      <c r="A447" s="5">
        <v>0</v>
      </c>
      <c r="B447" s="6" t="s">
        <v>2735</v>
      </c>
      <c r="C447" s="7">
        <v>254.9</v>
      </c>
      <c r="D447" s="8" t="s">
        <v>2736</v>
      </c>
      <c r="E447" s="8" t="s">
        <v>2737</v>
      </c>
      <c r="F447" s="8" t="s">
        <v>2738</v>
      </c>
      <c r="G447" s="6" t="s">
        <v>95</v>
      </c>
      <c r="H447" s="6" t="s">
        <v>38</v>
      </c>
      <c r="I447" s="8" t="s">
        <v>2739</v>
      </c>
      <c r="J447" s="9">
        <v>1</v>
      </c>
      <c r="K447" s="9">
        <v>85</v>
      </c>
      <c r="L447" s="9">
        <v>2017</v>
      </c>
      <c r="M447" s="8" t="s">
        <v>2740</v>
      </c>
      <c r="N447" s="8" t="s">
        <v>41</v>
      </c>
      <c r="O447" s="8" t="s">
        <v>97</v>
      </c>
      <c r="P447" s="6" t="s">
        <v>2739</v>
      </c>
      <c r="Q447" s="8" t="s">
        <v>44</v>
      </c>
      <c r="R447" s="10" t="s">
        <v>2741</v>
      </c>
      <c r="S447" s="11"/>
      <c r="T447" s="6"/>
      <c r="U447" s="12"/>
      <c r="V447" s="28" t="str">
        <f>HYPERLINK("https://znanium.com/catalog/product/615199", "Ознакомиться")</f>
        <v>Ознакомиться</v>
      </c>
      <c r="W447" s="8"/>
      <c r="X447" s="6"/>
      <c r="Y447" s="6"/>
      <c r="Z447" s="6"/>
      <c r="AA447" s="6" t="s">
        <v>469</v>
      </c>
    </row>
    <row r="448" spans="1:27" s="4" customFormat="1" ht="51.95" customHeight="1">
      <c r="A448" s="5">
        <v>0</v>
      </c>
      <c r="B448" s="6" t="s">
        <v>2742</v>
      </c>
      <c r="C448" s="7">
        <v>574</v>
      </c>
      <c r="D448" s="8" t="s">
        <v>2743</v>
      </c>
      <c r="E448" s="8" t="s">
        <v>2744</v>
      </c>
      <c r="F448" s="8" t="s">
        <v>2745</v>
      </c>
      <c r="G448" s="6" t="s">
        <v>37</v>
      </c>
      <c r="H448" s="6" t="s">
        <v>125</v>
      </c>
      <c r="I448" s="8" t="s">
        <v>1172</v>
      </c>
      <c r="J448" s="9">
        <v>1</v>
      </c>
      <c r="K448" s="9">
        <v>126</v>
      </c>
      <c r="L448" s="9">
        <v>2023</v>
      </c>
      <c r="M448" s="8" t="s">
        <v>2746</v>
      </c>
      <c r="N448" s="8" t="s">
        <v>41</v>
      </c>
      <c r="O448" s="8" t="s">
        <v>97</v>
      </c>
      <c r="P448" s="6" t="s">
        <v>43</v>
      </c>
      <c r="Q448" s="8" t="s">
        <v>44</v>
      </c>
      <c r="R448" s="10" t="s">
        <v>2747</v>
      </c>
      <c r="S448" s="11"/>
      <c r="T448" s="6"/>
      <c r="U448" s="28" t="str">
        <f>HYPERLINK("https://media.infra-m.ru/2080/2080770/cover/2080770.jpg", "Обложка")</f>
        <v>Обложка</v>
      </c>
      <c r="V448" s="28" t="str">
        <f>HYPERLINK("https://znanium.com/catalog/product/1946470", "Ознакомиться")</f>
        <v>Ознакомиться</v>
      </c>
      <c r="W448" s="8" t="s">
        <v>110</v>
      </c>
      <c r="X448" s="6"/>
      <c r="Y448" s="6"/>
      <c r="Z448" s="6"/>
      <c r="AA448" s="6" t="s">
        <v>317</v>
      </c>
    </row>
    <row r="449" spans="1:27" s="4" customFormat="1" ht="44.1" customHeight="1">
      <c r="A449" s="5">
        <v>0</v>
      </c>
      <c r="B449" s="6" t="s">
        <v>2748</v>
      </c>
      <c r="C449" s="13">
        <v>1454.9</v>
      </c>
      <c r="D449" s="8" t="s">
        <v>2749</v>
      </c>
      <c r="E449" s="8" t="s">
        <v>2750</v>
      </c>
      <c r="F449" s="8" t="s">
        <v>2751</v>
      </c>
      <c r="G449" s="6" t="s">
        <v>95</v>
      </c>
      <c r="H449" s="6" t="s">
        <v>347</v>
      </c>
      <c r="I449" s="8"/>
      <c r="J449" s="9">
        <v>1</v>
      </c>
      <c r="K449" s="9">
        <v>384</v>
      </c>
      <c r="L449" s="9">
        <v>2022</v>
      </c>
      <c r="M449" s="8" t="s">
        <v>2752</v>
      </c>
      <c r="N449" s="8" t="s">
        <v>41</v>
      </c>
      <c r="O449" s="8" t="s">
        <v>97</v>
      </c>
      <c r="P449" s="6" t="s">
        <v>54</v>
      </c>
      <c r="Q449" s="8" t="s">
        <v>86</v>
      </c>
      <c r="R449" s="10" t="s">
        <v>118</v>
      </c>
      <c r="S449" s="11"/>
      <c r="T449" s="6"/>
      <c r="U449" s="28" t="str">
        <f>HYPERLINK("https://media.infra-m.ru/1843/1843642/cover/1843642.jpg", "Обложка")</f>
        <v>Обложка</v>
      </c>
      <c r="V449" s="12"/>
      <c r="W449" s="8" t="s">
        <v>1537</v>
      </c>
      <c r="X449" s="6"/>
      <c r="Y449" s="6"/>
      <c r="Z449" s="6"/>
      <c r="AA449" s="6" t="s">
        <v>251</v>
      </c>
    </row>
    <row r="450" spans="1:27" s="4" customFormat="1" ht="51.95" customHeight="1">
      <c r="A450" s="5">
        <v>0</v>
      </c>
      <c r="B450" s="6" t="s">
        <v>2753</v>
      </c>
      <c r="C450" s="13">
        <v>1724.9</v>
      </c>
      <c r="D450" s="8" t="s">
        <v>2754</v>
      </c>
      <c r="E450" s="8" t="s">
        <v>2755</v>
      </c>
      <c r="F450" s="8" t="s">
        <v>2756</v>
      </c>
      <c r="G450" s="6" t="s">
        <v>95</v>
      </c>
      <c r="H450" s="6" t="s">
        <v>64</v>
      </c>
      <c r="I450" s="8" t="s">
        <v>65</v>
      </c>
      <c r="J450" s="9">
        <v>1</v>
      </c>
      <c r="K450" s="9">
        <v>384</v>
      </c>
      <c r="L450" s="9">
        <v>2023</v>
      </c>
      <c r="M450" s="8" t="s">
        <v>2757</v>
      </c>
      <c r="N450" s="8" t="s">
        <v>41</v>
      </c>
      <c r="O450" s="8" t="s">
        <v>85</v>
      </c>
      <c r="P450" s="6" t="s">
        <v>54</v>
      </c>
      <c r="Q450" s="8" t="s">
        <v>86</v>
      </c>
      <c r="R450" s="10" t="s">
        <v>1210</v>
      </c>
      <c r="S450" s="11"/>
      <c r="T450" s="6"/>
      <c r="U450" s="28" t="str">
        <f>HYPERLINK("https://media.infra-m.ru/1981/1981597/cover/1981597.jpg", "Обложка")</f>
        <v>Обложка</v>
      </c>
      <c r="V450" s="28" t="str">
        <f>HYPERLINK("https://znanium.com/catalog/product/1015077", "Ознакомиться")</f>
        <v>Ознакомиться</v>
      </c>
      <c r="W450" s="8" t="s">
        <v>2758</v>
      </c>
      <c r="X450" s="6"/>
      <c r="Y450" s="6"/>
      <c r="Z450" s="6"/>
      <c r="AA450" s="6" t="s">
        <v>317</v>
      </c>
    </row>
    <row r="451" spans="1:27" s="4" customFormat="1" ht="51.95" customHeight="1">
      <c r="A451" s="5">
        <v>0</v>
      </c>
      <c r="B451" s="6" t="s">
        <v>2759</v>
      </c>
      <c r="C451" s="13">
        <v>1020</v>
      </c>
      <c r="D451" s="8" t="s">
        <v>2760</v>
      </c>
      <c r="E451" s="8" t="s">
        <v>2761</v>
      </c>
      <c r="F451" s="8" t="s">
        <v>2762</v>
      </c>
      <c r="G451" s="6" t="s">
        <v>37</v>
      </c>
      <c r="H451" s="6" t="s">
        <v>64</v>
      </c>
      <c r="I451" s="8" t="s">
        <v>185</v>
      </c>
      <c r="J451" s="9">
        <v>1</v>
      </c>
      <c r="K451" s="9">
        <v>221</v>
      </c>
      <c r="L451" s="9">
        <v>2024</v>
      </c>
      <c r="M451" s="8" t="s">
        <v>2763</v>
      </c>
      <c r="N451" s="8" t="s">
        <v>41</v>
      </c>
      <c r="O451" s="8" t="s">
        <v>97</v>
      </c>
      <c r="P451" s="6" t="s">
        <v>67</v>
      </c>
      <c r="Q451" s="8" t="s">
        <v>134</v>
      </c>
      <c r="R451" s="10" t="s">
        <v>2764</v>
      </c>
      <c r="S451" s="11" t="s">
        <v>638</v>
      </c>
      <c r="T451" s="6"/>
      <c r="U451" s="28" t="str">
        <f>HYPERLINK("https://media.infra-m.ru/1991/1991026/cover/1991026.jpg", "Обложка")</f>
        <v>Обложка</v>
      </c>
      <c r="V451" s="28" t="str">
        <f>HYPERLINK("https://znanium.com/catalog/product/1991026", "Ознакомиться")</f>
        <v>Ознакомиться</v>
      </c>
      <c r="W451" s="8" t="s">
        <v>120</v>
      </c>
      <c r="X451" s="6"/>
      <c r="Y451" s="6"/>
      <c r="Z451" s="6"/>
      <c r="AA451" s="6" t="s">
        <v>127</v>
      </c>
    </row>
    <row r="452" spans="1:27" s="4" customFormat="1" ht="42" customHeight="1">
      <c r="A452" s="5">
        <v>0</v>
      </c>
      <c r="B452" s="6" t="s">
        <v>2765</v>
      </c>
      <c r="C452" s="13">
        <v>1224.9000000000001</v>
      </c>
      <c r="D452" s="8" t="s">
        <v>2766</v>
      </c>
      <c r="E452" s="8" t="s">
        <v>2767</v>
      </c>
      <c r="F452" s="8" t="s">
        <v>972</v>
      </c>
      <c r="G452" s="6" t="s">
        <v>37</v>
      </c>
      <c r="H452" s="6" t="s">
        <v>347</v>
      </c>
      <c r="I452" s="8"/>
      <c r="J452" s="9">
        <v>1</v>
      </c>
      <c r="K452" s="9">
        <v>272</v>
      </c>
      <c r="L452" s="9">
        <v>2023</v>
      </c>
      <c r="M452" s="8" t="s">
        <v>2768</v>
      </c>
      <c r="N452" s="8" t="s">
        <v>41</v>
      </c>
      <c r="O452" s="8" t="s">
        <v>97</v>
      </c>
      <c r="P452" s="6" t="s">
        <v>43</v>
      </c>
      <c r="Q452" s="8" t="s">
        <v>44</v>
      </c>
      <c r="R452" s="10" t="s">
        <v>2769</v>
      </c>
      <c r="S452" s="11"/>
      <c r="T452" s="6"/>
      <c r="U452" s="28" t="str">
        <f>HYPERLINK("https://media.infra-m.ru/2034/2034602/cover/2034602.jpg", "Обложка")</f>
        <v>Обложка</v>
      </c>
      <c r="V452" s="28" t="str">
        <f>HYPERLINK("https://znanium.com/catalog/product/1002238", "Ознакомиться")</f>
        <v>Ознакомиться</v>
      </c>
      <c r="W452" s="8" t="s">
        <v>579</v>
      </c>
      <c r="X452" s="6"/>
      <c r="Y452" s="6"/>
      <c r="Z452" s="6"/>
      <c r="AA452" s="6" t="s">
        <v>469</v>
      </c>
    </row>
    <row r="453" spans="1:27" s="4" customFormat="1" ht="44.1" customHeight="1">
      <c r="A453" s="5">
        <v>0</v>
      </c>
      <c r="B453" s="6" t="s">
        <v>2770</v>
      </c>
      <c r="C453" s="7">
        <v>574.9</v>
      </c>
      <c r="D453" s="8" t="s">
        <v>2771</v>
      </c>
      <c r="E453" s="8" t="s">
        <v>2772</v>
      </c>
      <c r="F453" s="8" t="s">
        <v>2773</v>
      </c>
      <c r="G453" s="6" t="s">
        <v>37</v>
      </c>
      <c r="H453" s="6" t="s">
        <v>347</v>
      </c>
      <c r="I453" s="8"/>
      <c r="J453" s="9">
        <v>1</v>
      </c>
      <c r="K453" s="9">
        <v>128</v>
      </c>
      <c r="L453" s="9">
        <v>2023</v>
      </c>
      <c r="M453" s="8" t="s">
        <v>2774</v>
      </c>
      <c r="N453" s="8" t="s">
        <v>41</v>
      </c>
      <c r="O453" s="8" t="s">
        <v>42</v>
      </c>
      <c r="P453" s="6" t="s">
        <v>1837</v>
      </c>
      <c r="Q453" s="8" t="s">
        <v>44</v>
      </c>
      <c r="R453" s="10" t="s">
        <v>2775</v>
      </c>
      <c r="S453" s="11"/>
      <c r="T453" s="6"/>
      <c r="U453" s="28" t="str">
        <f>HYPERLINK("https://media.infra-m.ru/1910/1910874/cover/1910874.jpg", "Обложка")</f>
        <v>Обложка</v>
      </c>
      <c r="V453" s="28" t="str">
        <f>HYPERLINK("https://znanium.com/catalog/product/1834414", "Ознакомиться")</f>
        <v>Ознакомиться</v>
      </c>
      <c r="W453" s="8" t="s">
        <v>110</v>
      </c>
      <c r="X453" s="6"/>
      <c r="Y453" s="6"/>
      <c r="Z453" s="6"/>
      <c r="AA453" s="6" t="s">
        <v>251</v>
      </c>
    </row>
    <row r="454" spans="1:27" s="4" customFormat="1" ht="42" customHeight="1">
      <c r="A454" s="5">
        <v>0</v>
      </c>
      <c r="B454" s="6" t="s">
        <v>2776</v>
      </c>
      <c r="C454" s="7">
        <v>854.9</v>
      </c>
      <c r="D454" s="8" t="s">
        <v>2777</v>
      </c>
      <c r="E454" s="8" t="s">
        <v>2778</v>
      </c>
      <c r="F454" s="8" t="s">
        <v>473</v>
      </c>
      <c r="G454" s="6" t="s">
        <v>37</v>
      </c>
      <c r="H454" s="6" t="s">
        <v>347</v>
      </c>
      <c r="I454" s="8"/>
      <c r="J454" s="9">
        <v>1</v>
      </c>
      <c r="K454" s="9">
        <v>224</v>
      </c>
      <c r="L454" s="9">
        <v>2022</v>
      </c>
      <c r="M454" s="8" t="s">
        <v>2779</v>
      </c>
      <c r="N454" s="8" t="s">
        <v>41</v>
      </c>
      <c r="O454" s="8" t="s">
        <v>97</v>
      </c>
      <c r="P454" s="6" t="s">
        <v>54</v>
      </c>
      <c r="Q454" s="8" t="s">
        <v>55</v>
      </c>
      <c r="R454" s="10" t="s">
        <v>227</v>
      </c>
      <c r="S454" s="11"/>
      <c r="T454" s="6"/>
      <c r="U454" s="28" t="str">
        <f>HYPERLINK("https://media.infra-m.ru/1852/1852222/cover/1852222.jpg", "Обложка")</f>
        <v>Обложка</v>
      </c>
      <c r="V454" s="28" t="str">
        <f>HYPERLINK("https://znanium.com/catalog/product/1001953", "Ознакомиться")</f>
        <v>Ознакомиться</v>
      </c>
      <c r="W454" s="8" t="s">
        <v>476</v>
      </c>
      <c r="X454" s="6"/>
      <c r="Y454" s="6"/>
      <c r="Z454" s="6"/>
      <c r="AA454" s="6" t="s">
        <v>90</v>
      </c>
    </row>
    <row r="455" spans="1:27" s="4" customFormat="1" ht="44.1" customHeight="1">
      <c r="A455" s="5">
        <v>0</v>
      </c>
      <c r="B455" s="6" t="s">
        <v>2780</v>
      </c>
      <c r="C455" s="7">
        <v>989.9</v>
      </c>
      <c r="D455" s="8" t="s">
        <v>2781</v>
      </c>
      <c r="E455" s="8" t="s">
        <v>2782</v>
      </c>
      <c r="F455" s="8" t="s">
        <v>2783</v>
      </c>
      <c r="G455" s="6" t="s">
        <v>37</v>
      </c>
      <c r="H455" s="6" t="s">
        <v>347</v>
      </c>
      <c r="I455" s="8"/>
      <c r="J455" s="9">
        <v>1</v>
      </c>
      <c r="K455" s="9">
        <v>204</v>
      </c>
      <c r="L455" s="9">
        <v>2019</v>
      </c>
      <c r="M455" s="8" t="s">
        <v>2784</v>
      </c>
      <c r="N455" s="8" t="s">
        <v>41</v>
      </c>
      <c r="O455" s="8" t="s">
        <v>97</v>
      </c>
      <c r="P455" s="6" t="s">
        <v>43</v>
      </c>
      <c r="Q455" s="8" t="s">
        <v>44</v>
      </c>
      <c r="R455" s="10" t="s">
        <v>2785</v>
      </c>
      <c r="S455" s="11"/>
      <c r="T455" s="6"/>
      <c r="U455" s="12"/>
      <c r="V455" s="12"/>
      <c r="W455" s="8" t="s">
        <v>324</v>
      </c>
      <c r="X455" s="6"/>
      <c r="Y455" s="6"/>
      <c r="Z455" s="6"/>
      <c r="AA455" s="6" t="s">
        <v>166</v>
      </c>
    </row>
    <row r="456" spans="1:27" s="4" customFormat="1" ht="51.95" customHeight="1">
      <c r="A456" s="5">
        <v>0</v>
      </c>
      <c r="B456" s="6" t="s">
        <v>2786</v>
      </c>
      <c r="C456" s="13">
        <v>1034.9000000000001</v>
      </c>
      <c r="D456" s="8" t="s">
        <v>2787</v>
      </c>
      <c r="E456" s="8" t="s">
        <v>2788</v>
      </c>
      <c r="F456" s="8" t="s">
        <v>2789</v>
      </c>
      <c r="G456" s="6" t="s">
        <v>95</v>
      </c>
      <c r="H456" s="6" t="s">
        <v>52</v>
      </c>
      <c r="I456" s="8"/>
      <c r="J456" s="9">
        <v>1</v>
      </c>
      <c r="K456" s="9">
        <v>304</v>
      </c>
      <c r="L456" s="9">
        <v>2019</v>
      </c>
      <c r="M456" s="8" t="s">
        <v>2790</v>
      </c>
      <c r="N456" s="8" t="s">
        <v>41</v>
      </c>
      <c r="O456" s="8" t="s">
        <v>42</v>
      </c>
      <c r="P456" s="6" t="s">
        <v>43</v>
      </c>
      <c r="Q456" s="8" t="s">
        <v>55</v>
      </c>
      <c r="R456" s="10" t="s">
        <v>2791</v>
      </c>
      <c r="S456" s="11"/>
      <c r="T456" s="6"/>
      <c r="U456" s="28" t="str">
        <f>HYPERLINK("https://media.infra-m.ru/1011/1011092/cover/1011092.jpg", "Обложка")</f>
        <v>Обложка</v>
      </c>
      <c r="V456" s="28" t="str">
        <f>HYPERLINK("https://znanium.com/catalog/product/1011092", "Ознакомиться")</f>
        <v>Ознакомиться</v>
      </c>
      <c r="W456" s="8" t="s">
        <v>57</v>
      </c>
      <c r="X456" s="6"/>
      <c r="Y456" s="6"/>
      <c r="Z456" s="6"/>
      <c r="AA456" s="6" t="s">
        <v>206</v>
      </c>
    </row>
    <row r="457" spans="1:27" s="4" customFormat="1" ht="51.95" customHeight="1">
      <c r="A457" s="5">
        <v>0</v>
      </c>
      <c r="B457" s="6" t="s">
        <v>2792</v>
      </c>
      <c r="C457" s="7">
        <v>314.89999999999998</v>
      </c>
      <c r="D457" s="8" t="s">
        <v>2793</v>
      </c>
      <c r="E457" s="8" t="s">
        <v>2794</v>
      </c>
      <c r="F457" s="8" t="s">
        <v>2795</v>
      </c>
      <c r="G457" s="6" t="s">
        <v>37</v>
      </c>
      <c r="H457" s="6" t="s">
        <v>64</v>
      </c>
      <c r="I457" s="8" t="s">
        <v>39</v>
      </c>
      <c r="J457" s="9">
        <v>1</v>
      </c>
      <c r="K457" s="9">
        <v>102</v>
      </c>
      <c r="L457" s="9">
        <v>2018</v>
      </c>
      <c r="M457" s="8" t="s">
        <v>2796</v>
      </c>
      <c r="N457" s="8" t="s">
        <v>41</v>
      </c>
      <c r="O457" s="8" t="s">
        <v>97</v>
      </c>
      <c r="P457" s="6" t="s">
        <v>43</v>
      </c>
      <c r="Q457" s="8" t="s">
        <v>44</v>
      </c>
      <c r="R457" s="10" t="s">
        <v>2797</v>
      </c>
      <c r="S457" s="11"/>
      <c r="T457" s="6"/>
      <c r="U457" s="28" t="str">
        <f>HYPERLINK("https://media.infra-m.ru/0926/0926724/cover/926724.jpg", "Обложка")</f>
        <v>Обложка</v>
      </c>
      <c r="V457" s="28" t="str">
        <f>HYPERLINK("https://znanium.com/catalog/product/926724", "Ознакомиться")</f>
        <v>Ознакомиться</v>
      </c>
      <c r="W457" s="8" t="s">
        <v>2798</v>
      </c>
      <c r="X457" s="6"/>
      <c r="Y457" s="6"/>
      <c r="Z457" s="6"/>
      <c r="AA457" s="6" t="s">
        <v>78</v>
      </c>
    </row>
    <row r="458" spans="1:27" s="4" customFormat="1" ht="42" customHeight="1">
      <c r="A458" s="5">
        <v>0</v>
      </c>
      <c r="B458" s="6" t="s">
        <v>2799</v>
      </c>
      <c r="C458" s="7">
        <v>514.9</v>
      </c>
      <c r="D458" s="8" t="s">
        <v>2800</v>
      </c>
      <c r="E458" s="8" t="s">
        <v>2801</v>
      </c>
      <c r="F458" s="8" t="s">
        <v>2802</v>
      </c>
      <c r="G458" s="6" t="s">
        <v>95</v>
      </c>
      <c r="H458" s="6" t="s">
        <v>64</v>
      </c>
      <c r="I458" s="8" t="s">
        <v>39</v>
      </c>
      <c r="J458" s="9">
        <v>1</v>
      </c>
      <c r="K458" s="9">
        <v>148</v>
      </c>
      <c r="L458" s="9">
        <v>2020</v>
      </c>
      <c r="M458" s="8" t="s">
        <v>2803</v>
      </c>
      <c r="N458" s="8" t="s">
        <v>41</v>
      </c>
      <c r="O458" s="8" t="s">
        <v>97</v>
      </c>
      <c r="P458" s="6" t="s">
        <v>43</v>
      </c>
      <c r="Q458" s="8" t="s">
        <v>44</v>
      </c>
      <c r="R458" s="10" t="s">
        <v>555</v>
      </c>
      <c r="S458" s="11"/>
      <c r="T458" s="6"/>
      <c r="U458" s="28" t="str">
        <f>HYPERLINK("https://media.infra-m.ru/1047/1047194/cover/1047194.jpg", "Обложка")</f>
        <v>Обложка</v>
      </c>
      <c r="V458" s="28" t="str">
        <f>HYPERLINK("https://znanium.com/catalog/product/1047194", "Ознакомиться")</f>
        <v>Ознакомиться</v>
      </c>
      <c r="W458" s="8" t="s">
        <v>2804</v>
      </c>
      <c r="X458" s="6"/>
      <c r="Y458" s="6"/>
      <c r="Z458" s="6"/>
      <c r="AA458" s="6" t="s">
        <v>78</v>
      </c>
    </row>
    <row r="459" spans="1:27" s="4" customFormat="1" ht="42" customHeight="1">
      <c r="A459" s="5">
        <v>0</v>
      </c>
      <c r="B459" s="6" t="s">
        <v>2805</v>
      </c>
      <c r="C459" s="7">
        <v>404.9</v>
      </c>
      <c r="D459" s="8" t="s">
        <v>2806</v>
      </c>
      <c r="E459" s="8" t="s">
        <v>2807</v>
      </c>
      <c r="F459" s="8" t="s">
        <v>2808</v>
      </c>
      <c r="G459" s="6" t="s">
        <v>37</v>
      </c>
      <c r="H459" s="6" t="s">
        <v>64</v>
      </c>
      <c r="I459" s="8" t="s">
        <v>39</v>
      </c>
      <c r="J459" s="9">
        <v>1</v>
      </c>
      <c r="K459" s="9">
        <v>118</v>
      </c>
      <c r="L459" s="9">
        <v>2019</v>
      </c>
      <c r="M459" s="8" t="s">
        <v>2809</v>
      </c>
      <c r="N459" s="8" t="s">
        <v>41</v>
      </c>
      <c r="O459" s="8" t="s">
        <v>97</v>
      </c>
      <c r="P459" s="6" t="s">
        <v>43</v>
      </c>
      <c r="Q459" s="8" t="s">
        <v>44</v>
      </c>
      <c r="R459" s="10" t="s">
        <v>2769</v>
      </c>
      <c r="S459" s="11"/>
      <c r="T459" s="6"/>
      <c r="U459" s="28" t="str">
        <f>HYPERLINK("https://media.infra-m.ru/1015/1015156/cover/1015156.jpg", "Обложка")</f>
        <v>Обложка</v>
      </c>
      <c r="V459" s="28" t="str">
        <f>HYPERLINK("https://znanium.com/catalog/product/1015156", "Ознакомиться")</f>
        <v>Ознакомиться</v>
      </c>
      <c r="W459" s="8" t="s">
        <v>159</v>
      </c>
      <c r="X459" s="6"/>
      <c r="Y459" s="6"/>
      <c r="Z459" s="6"/>
      <c r="AA459" s="6" t="s">
        <v>317</v>
      </c>
    </row>
    <row r="460" spans="1:27" s="4" customFormat="1" ht="51.95" customHeight="1">
      <c r="A460" s="5">
        <v>0</v>
      </c>
      <c r="B460" s="6" t="s">
        <v>2810</v>
      </c>
      <c r="C460" s="7">
        <v>840</v>
      </c>
      <c r="D460" s="8" t="s">
        <v>2811</v>
      </c>
      <c r="E460" s="8" t="s">
        <v>2812</v>
      </c>
      <c r="F460" s="8" t="s">
        <v>1202</v>
      </c>
      <c r="G460" s="6" t="s">
        <v>37</v>
      </c>
      <c r="H460" s="6" t="s">
        <v>64</v>
      </c>
      <c r="I460" s="8" t="s">
        <v>39</v>
      </c>
      <c r="J460" s="9">
        <v>1</v>
      </c>
      <c r="K460" s="9">
        <v>179</v>
      </c>
      <c r="L460" s="9">
        <v>2024</v>
      </c>
      <c r="M460" s="8" t="s">
        <v>2813</v>
      </c>
      <c r="N460" s="8" t="s">
        <v>41</v>
      </c>
      <c r="O460" s="8" t="s">
        <v>97</v>
      </c>
      <c r="P460" s="6" t="s">
        <v>43</v>
      </c>
      <c r="Q460" s="8" t="s">
        <v>44</v>
      </c>
      <c r="R460" s="10" t="s">
        <v>2814</v>
      </c>
      <c r="S460" s="11"/>
      <c r="T460" s="6"/>
      <c r="U460" s="28" t="str">
        <f>HYPERLINK("https://media.infra-m.ru/1907/1907551/cover/1907551.jpg", "Обложка")</f>
        <v>Обложка</v>
      </c>
      <c r="V460" s="28" t="str">
        <f>HYPERLINK("https://znanium.com/catalog/product/1907551", "Ознакомиться")</f>
        <v>Ознакомиться</v>
      </c>
      <c r="W460" s="8" t="s">
        <v>159</v>
      </c>
      <c r="X460" s="6"/>
      <c r="Y460" s="6"/>
      <c r="Z460" s="6"/>
      <c r="AA460" s="6" t="s">
        <v>78</v>
      </c>
    </row>
    <row r="461" spans="1:27" s="4" customFormat="1" ht="51.95" customHeight="1">
      <c r="A461" s="5">
        <v>0</v>
      </c>
      <c r="B461" s="6" t="s">
        <v>2815</v>
      </c>
      <c r="C461" s="7">
        <v>874.9</v>
      </c>
      <c r="D461" s="8" t="s">
        <v>2816</v>
      </c>
      <c r="E461" s="8" t="s">
        <v>2817</v>
      </c>
      <c r="F461" s="8" t="s">
        <v>2818</v>
      </c>
      <c r="G461" s="6" t="s">
        <v>95</v>
      </c>
      <c r="H461" s="6" t="s">
        <v>347</v>
      </c>
      <c r="I461" s="8"/>
      <c r="J461" s="9">
        <v>1</v>
      </c>
      <c r="K461" s="9">
        <v>256</v>
      </c>
      <c r="L461" s="9">
        <v>2019</v>
      </c>
      <c r="M461" s="8" t="s">
        <v>2819</v>
      </c>
      <c r="N461" s="8" t="s">
        <v>41</v>
      </c>
      <c r="O461" s="8" t="s">
        <v>85</v>
      </c>
      <c r="P461" s="6" t="s">
        <v>43</v>
      </c>
      <c r="Q461" s="8" t="s">
        <v>44</v>
      </c>
      <c r="R461" s="10" t="s">
        <v>2820</v>
      </c>
      <c r="S461" s="11"/>
      <c r="T461" s="6"/>
      <c r="U461" s="28" t="str">
        <f>HYPERLINK("https://media.infra-m.ru/1012/1012445/cover/1012445.jpg", "Обложка")</f>
        <v>Обложка</v>
      </c>
      <c r="V461" s="28" t="str">
        <f>HYPERLINK("https://znanium.com/catalog/product/1012445", "Ознакомиться")</f>
        <v>Ознакомиться</v>
      </c>
      <c r="W461" s="8" t="s">
        <v>110</v>
      </c>
      <c r="X461" s="6"/>
      <c r="Y461" s="6"/>
      <c r="Z461" s="6"/>
      <c r="AA461" s="6" t="s">
        <v>47</v>
      </c>
    </row>
    <row r="462" spans="1:27" s="4" customFormat="1" ht="51.95" customHeight="1">
      <c r="A462" s="5">
        <v>0</v>
      </c>
      <c r="B462" s="6" t="s">
        <v>2821</v>
      </c>
      <c r="C462" s="13">
        <v>1400</v>
      </c>
      <c r="D462" s="8" t="s">
        <v>2822</v>
      </c>
      <c r="E462" s="8" t="s">
        <v>2823</v>
      </c>
      <c r="F462" s="8" t="s">
        <v>2824</v>
      </c>
      <c r="G462" s="6" t="s">
        <v>63</v>
      </c>
      <c r="H462" s="6" t="s">
        <v>347</v>
      </c>
      <c r="I462" s="8" t="s">
        <v>390</v>
      </c>
      <c r="J462" s="9">
        <v>1</v>
      </c>
      <c r="K462" s="9">
        <v>320</v>
      </c>
      <c r="L462" s="9">
        <v>2023</v>
      </c>
      <c r="M462" s="8" t="s">
        <v>2825</v>
      </c>
      <c r="N462" s="8" t="s">
        <v>41</v>
      </c>
      <c r="O462" s="8" t="s">
        <v>97</v>
      </c>
      <c r="P462" s="6" t="s">
        <v>54</v>
      </c>
      <c r="Q462" s="8" t="s">
        <v>86</v>
      </c>
      <c r="R462" s="10" t="s">
        <v>2826</v>
      </c>
      <c r="S462" s="11"/>
      <c r="T462" s="6"/>
      <c r="U462" s="28" t="str">
        <f>HYPERLINK("https://media.infra-m.ru/1932/1932345/cover/1932345.jpg", "Обложка")</f>
        <v>Обложка</v>
      </c>
      <c r="V462" s="28" t="str">
        <f>HYPERLINK("https://znanium.com/catalog/product/1932345", "Ознакомиться")</f>
        <v>Ознакомиться</v>
      </c>
      <c r="W462" s="8" t="s">
        <v>110</v>
      </c>
      <c r="X462" s="6"/>
      <c r="Y462" s="6"/>
      <c r="Z462" s="6"/>
      <c r="AA462" s="6" t="s">
        <v>90</v>
      </c>
    </row>
    <row r="463" spans="1:27" s="4" customFormat="1" ht="51.95" customHeight="1">
      <c r="A463" s="5">
        <v>0</v>
      </c>
      <c r="B463" s="6" t="s">
        <v>2827</v>
      </c>
      <c r="C463" s="7">
        <v>804.9</v>
      </c>
      <c r="D463" s="8" t="s">
        <v>2828</v>
      </c>
      <c r="E463" s="8" t="s">
        <v>2829</v>
      </c>
      <c r="F463" s="8" t="s">
        <v>2830</v>
      </c>
      <c r="G463" s="6" t="s">
        <v>37</v>
      </c>
      <c r="H463" s="6" t="s">
        <v>64</v>
      </c>
      <c r="I463" s="8" t="s">
        <v>39</v>
      </c>
      <c r="J463" s="9">
        <v>1</v>
      </c>
      <c r="K463" s="9">
        <v>236</v>
      </c>
      <c r="L463" s="9">
        <v>2019</v>
      </c>
      <c r="M463" s="8" t="s">
        <v>2831</v>
      </c>
      <c r="N463" s="8" t="s">
        <v>41</v>
      </c>
      <c r="O463" s="8" t="s">
        <v>97</v>
      </c>
      <c r="P463" s="6" t="s">
        <v>43</v>
      </c>
      <c r="Q463" s="8" t="s">
        <v>44</v>
      </c>
      <c r="R463" s="10" t="s">
        <v>2832</v>
      </c>
      <c r="S463" s="11"/>
      <c r="T463" s="6"/>
      <c r="U463" s="28" t="str">
        <f>HYPERLINK("https://media.infra-m.ru/1010/1010051/cover/1010051.jpg", "Обложка")</f>
        <v>Обложка</v>
      </c>
      <c r="V463" s="28" t="str">
        <f>HYPERLINK("https://znanium.com/catalog/product/1010051", "Ознакомиться")</f>
        <v>Ознакомиться</v>
      </c>
      <c r="W463" s="8" t="s">
        <v>159</v>
      </c>
      <c r="X463" s="6"/>
      <c r="Y463" s="6"/>
      <c r="Z463" s="6"/>
      <c r="AA463" s="6" t="s">
        <v>317</v>
      </c>
    </row>
    <row r="464" spans="1:27" s="4" customFormat="1" ht="51.95" customHeight="1">
      <c r="A464" s="5">
        <v>0</v>
      </c>
      <c r="B464" s="6" t="s">
        <v>2833</v>
      </c>
      <c r="C464" s="13">
        <v>1194</v>
      </c>
      <c r="D464" s="8" t="s">
        <v>2834</v>
      </c>
      <c r="E464" s="8" t="s">
        <v>2835</v>
      </c>
      <c r="F464" s="8" t="s">
        <v>1791</v>
      </c>
      <c r="G464" s="6" t="s">
        <v>63</v>
      </c>
      <c r="H464" s="6" t="s">
        <v>64</v>
      </c>
      <c r="I464" s="8" t="s">
        <v>83</v>
      </c>
      <c r="J464" s="9">
        <v>1</v>
      </c>
      <c r="K464" s="9">
        <v>265</v>
      </c>
      <c r="L464" s="9">
        <v>2023</v>
      </c>
      <c r="M464" s="8" t="s">
        <v>2836</v>
      </c>
      <c r="N464" s="8" t="s">
        <v>41</v>
      </c>
      <c r="O464" s="8" t="s">
        <v>97</v>
      </c>
      <c r="P464" s="6" t="s">
        <v>54</v>
      </c>
      <c r="Q464" s="8" t="s">
        <v>86</v>
      </c>
      <c r="R464" s="10" t="s">
        <v>1210</v>
      </c>
      <c r="S464" s="11" t="s">
        <v>2837</v>
      </c>
      <c r="T464" s="6"/>
      <c r="U464" s="28" t="str">
        <f>HYPERLINK("https://media.infra-m.ru/2006/2006043/cover/2006043.jpg", "Обложка")</f>
        <v>Обложка</v>
      </c>
      <c r="V464" s="28" t="str">
        <f>HYPERLINK("https://znanium.com/catalog/product/1003845", "Ознакомиться")</f>
        <v>Ознакомиться</v>
      </c>
      <c r="W464" s="8" t="s">
        <v>1454</v>
      </c>
      <c r="X464" s="6"/>
      <c r="Y464" s="6"/>
      <c r="Z464" s="6"/>
      <c r="AA464" s="6" t="s">
        <v>71</v>
      </c>
    </row>
    <row r="465" spans="1:27" s="4" customFormat="1" ht="51.95" customHeight="1">
      <c r="A465" s="5">
        <v>0</v>
      </c>
      <c r="B465" s="6" t="s">
        <v>2838</v>
      </c>
      <c r="C465" s="7">
        <v>950</v>
      </c>
      <c r="D465" s="8" t="s">
        <v>2839</v>
      </c>
      <c r="E465" s="8" t="s">
        <v>2840</v>
      </c>
      <c r="F465" s="8" t="s">
        <v>2841</v>
      </c>
      <c r="G465" s="6" t="s">
        <v>95</v>
      </c>
      <c r="H465" s="6" t="s">
        <v>64</v>
      </c>
      <c r="I465" s="8" t="s">
        <v>858</v>
      </c>
      <c r="J465" s="9">
        <v>1</v>
      </c>
      <c r="K465" s="9">
        <v>218</v>
      </c>
      <c r="L465" s="9">
        <v>2022</v>
      </c>
      <c r="M465" s="8" t="s">
        <v>2842</v>
      </c>
      <c r="N465" s="8" t="s">
        <v>41</v>
      </c>
      <c r="O465" s="8" t="s">
        <v>97</v>
      </c>
      <c r="P465" s="6" t="s">
        <v>54</v>
      </c>
      <c r="Q465" s="8" t="s">
        <v>860</v>
      </c>
      <c r="R465" s="10" t="s">
        <v>1723</v>
      </c>
      <c r="S465" s="11" t="s">
        <v>2843</v>
      </c>
      <c r="T465" s="6"/>
      <c r="U465" s="28" t="str">
        <f>HYPERLINK("https://media.infra-m.ru/1474/1474226/cover/1474226.jpg", "Обложка")</f>
        <v>Обложка</v>
      </c>
      <c r="V465" s="28" t="str">
        <f>HYPERLINK("https://znanium.com/catalog/product/1474226", "Ознакомиться")</f>
        <v>Ознакомиться</v>
      </c>
      <c r="W465" s="8" t="s">
        <v>100</v>
      </c>
      <c r="X465" s="6"/>
      <c r="Y465" s="6"/>
      <c r="Z465" s="6"/>
      <c r="AA465" s="6" t="s">
        <v>687</v>
      </c>
    </row>
    <row r="466" spans="1:27" s="4" customFormat="1" ht="51.95" customHeight="1">
      <c r="A466" s="5">
        <v>0</v>
      </c>
      <c r="B466" s="6" t="s">
        <v>2844</v>
      </c>
      <c r="C466" s="13">
        <v>1274.9000000000001</v>
      </c>
      <c r="D466" s="8" t="s">
        <v>2845</v>
      </c>
      <c r="E466" s="8" t="s">
        <v>2846</v>
      </c>
      <c r="F466" s="8" t="s">
        <v>2847</v>
      </c>
      <c r="G466" s="6" t="s">
        <v>95</v>
      </c>
      <c r="H466" s="6" t="s">
        <v>64</v>
      </c>
      <c r="I466" s="8" t="s">
        <v>39</v>
      </c>
      <c r="J466" s="9">
        <v>1</v>
      </c>
      <c r="K466" s="9">
        <v>410</v>
      </c>
      <c r="L466" s="9">
        <v>2018</v>
      </c>
      <c r="M466" s="8" t="s">
        <v>2848</v>
      </c>
      <c r="N466" s="8" t="s">
        <v>41</v>
      </c>
      <c r="O466" s="8" t="s">
        <v>97</v>
      </c>
      <c r="P466" s="6" t="s">
        <v>43</v>
      </c>
      <c r="Q466" s="8" t="s">
        <v>44</v>
      </c>
      <c r="R466" s="10" t="s">
        <v>2849</v>
      </c>
      <c r="S466" s="11"/>
      <c r="T466" s="6"/>
      <c r="U466" s="28" t="str">
        <f>HYPERLINK("https://media.infra-m.ru/0929/0929652/cover/929652.jpg", "Обложка")</f>
        <v>Обложка</v>
      </c>
      <c r="V466" s="28" t="str">
        <f>HYPERLINK("https://znanium.com/catalog/product/1167890", "Ознакомиться")</f>
        <v>Ознакомиться</v>
      </c>
      <c r="W466" s="8" t="s">
        <v>120</v>
      </c>
      <c r="X466" s="6"/>
      <c r="Y466" s="6"/>
      <c r="Z466" s="6"/>
      <c r="AA466" s="6" t="s">
        <v>469</v>
      </c>
    </row>
    <row r="467" spans="1:27" s="4" customFormat="1" ht="51.95" customHeight="1">
      <c r="A467" s="5">
        <v>0</v>
      </c>
      <c r="B467" s="6" t="s">
        <v>2850</v>
      </c>
      <c r="C467" s="13">
        <v>1894</v>
      </c>
      <c r="D467" s="8" t="s">
        <v>2851</v>
      </c>
      <c r="E467" s="8" t="s">
        <v>2852</v>
      </c>
      <c r="F467" s="8" t="s">
        <v>2847</v>
      </c>
      <c r="G467" s="6" t="s">
        <v>63</v>
      </c>
      <c r="H467" s="6" t="s">
        <v>64</v>
      </c>
      <c r="I467" s="8" t="s">
        <v>39</v>
      </c>
      <c r="J467" s="9">
        <v>1</v>
      </c>
      <c r="K467" s="9">
        <v>410</v>
      </c>
      <c r="L467" s="9">
        <v>2024</v>
      </c>
      <c r="M467" s="8" t="s">
        <v>2848</v>
      </c>
      <c r="N467" s="8" t="s">
        <v>41</v>
      </c>
      <c r="O467" s="8" t="s">
        <v>97</v>
      </c>
      <c r="P467" s="6" t="s">
        <v>43</v>
      </c>
      <c r="Q467" s="8" t="s">
        <v>44</v>
      </c>
      <c r="R467" s="10" t="s">
        <v>2849</v>
      </c>
      <c r="S467" s="11"/>
      <c r="T467" s="6"/>
      <c r="U467" s="28" t="str">
        <f>HYPERLINK("https://media.infra-m.ru/2061/2061319/cover/2061319.jpg", "Обложка")</f>
        <v>Обложка</v>
      </c>
      <c r="V467" s="28" t="str">
        <f>HYPERLINK("https://znanium.com/catalog/product/1167890", "Ознакомиться")</f>
        <v>Ознакомиться</v>
      </c>
      <c r="W467" s="8" t="s">
        <v>120</v>
      </c>
      <c r="X467" s="6"/>
      <c r="Y467" s="6"/>
      <c r="Z467" s="6"/>
      <c r="AA467" s="6" t="s">
        <v>441</v>
      </c>
    </row>
    <row r="468" spans="1:27" s="4" customFormat="1" ht="51.95" customHeight="1">
      <c r="A468" s="5">
        <v>0</v>
      </c>
      <c r="B468" s="6" t="s">
        <v>2853</v>
      </c>
      <c r="C468" s="13">
        <v>1134.9000000000001</v>
      </c>
      <c r="D468" s="8" t="s">
        <v>2854</v>
      </c>
      <c r="E468" s="8" t="s">
        <v>2855</v>
      </c>
      <c r="F468" s="8" t="s">
        <v>2856</v>
      </c>
      <c r="G468" s="6" t="s">
        <v>37</v>
      </c>
      <c r="H468" s="6" t="s">
        <v>64</v>
      </c>
      <c r="I468" s="8" t="s">
        <v>39</v>
      </c>
      <c r="J468" s="9">
        <v>1</v>
      </c>
      <c r="K468" s="9">
        <v>253</v>
      </c>
      <c r="L468" s="9">
        <v>2023</v>
      </c>
      <c r="M468" s="8" t="s">
        <v>2857</v>
      </c>
      <c r="N468" s="8" t="s">
        <v>41</v>
      </c>
      <c r="O468" s="8" t="s">
        <v>97</v>
      </c>
      <c r="P468" s="6" t="s">
        <v>43</v>
      </c>
      <c r="Q468" s="8" t="s">
        <v>44</v>
      </c>
      <c r="R468" s="10" t="s">
        <v>2858</v>
      </c>
      <c r="S468" s="11"/>
      <c r="T468" s="6"/>
      <c r="U468" s="28" t="str">
        <f>HYPERLINK("https://media.infra-m.ru/1913/1913709/cover/1913709.jpg", "Обложка")</f>
        <v>Обложка</v>
      </c>
      <c r="V468" s="28" t="str">
        <f>HYPERLINK("https://znanium.com/catalog/product/938071", "Ознакомиться")</f>
        <v>Ознакомиться</v>
      </c>
      <c r="W468" s="8" t="s">
        <v>1335</v>
      </c>
      <c r="X468" s="6"/>
      <c r="Y468" s="6"/>
      <c r="Z468" s="6"/>
      <c r="AA468" s="6" t="s">
        <v>78</v>
      </c>
    </row>
    <row r="469" spans="1:27" s="4" customFormat="1" ht="51.95" customHeight="1">
      <c r="A469" s="5">
        <v>0</v>
      </c>
      <c r="B469" s="6" t="s">
        <v>2859</v>
      </c>
      <c r="C469" s="13">
        <v>1070</v>
      </c>
      <c r="D469" s="8" t="s">
        <v>2860</v>
      </c>
      <c r="E469" s="8" t="s">
        <v>2861</v>
      </c>
      <c r="F469" s="8" t="s">
        <v>1591</v>
      </c>
      <c r="G469" s="6" t="s">
        <v>95</v>
      </c>
      <c r="H469" s="6" t="s">
        <v>52</v>
      </c>
      <c r="I469" s="8"/>
      <c r="J469" s="9">
        <v>1</v>
      </c>
      <c r="K469" s="9">
        <v>304</v>
      </c>
      <c r="L469" s="9">
        <v>2020</v>
      </c>
      <c r="M469" s="8" t="s">
        <v>2862</v>
      </c>
      <c r="N469" s="8" t="s">
        <v>41</v>
      </c>
      <c r="O469" s="8" t="s">
        <v>42</v>
      </c>
      <c r="P469" s="6" t="s">
        <v>43</v>
      </c>
      <c r="Q469" s="8" t="s">
        <v>44</v>
      </c>
      <c r="R469" s="10" t="s">
        <v>2863</v>
      </c>
      <c r="S469" s="11"/>
      <c r="T469" s="6"/>
      <c r="U469" s="28" t="str">
        <f>HYPERLINK("https://media.infra-m.ru/1079/1079226/cover/1079226.jpg", "Обложка")</f>
        <v>Обложка</v>
      </c>
      <c r="V469" s="28" t="str">
        <f>HYPERLINK("https://znanium.com/catalog/product/1079226", "Ознакомиться")</f>
        <v>Ознакомиться</v>
      </c>
      <c r="W469" s="8" t="s">
        <v>1180</v>
      </c>
      <c r="X469" s="6"/>
      <c r="Y469" s="6"/>
      <c r="Z469" s="6"/>
      <c r="AA469" s="6" t="s">
        <v>71</v>
      </c>
    </row>
    <row r="470" spans="1:27" s="4" customFormat="1" ht="51.95" customHeight="1">
      <c r="A470" s="5">
        <v>0</v>
      </c>
      <c r="B470" s="6" t="s">
        <v>2864</v>
      </c>
      <c r="C470" s="7">
        <v>980</v>
      </c>
      <c r="D470" s="8" t="s">
        <v>2865</v>
      </c>
      <c r="E470" s="8" t="s">
        <v>2866</v>
      </c>
      <c r="F470" s="8" t="s">
        <v>2867</v>
      </c>
      <c r="G470" s="6" t="s">
        <v>95</v>
      </c>
      <c r="H470" s="6" t="s">
        <v>64</v>
      </c>
      <c r="I470" s="8" t="s">
        <v>1465</v>
      </c>
      <c r="J470" s="9">
        <v>1</v>
      </c>
      <c r="K470" s="9">
        <v>203</v>
      </c>
      <c r="L470" s="9">
        <v>2023</v>
      </c>
      <c r="M470" s="8" t="s">
        <v>2868</v>
      </c>
      <c r="N470" s="8" t="s">
        <v>41</v>
      </c>
      <c r="O470" s="8" t="s">
        <v>97</v>
      </c>
      <c r="P470" s="6" t="s">
        <v>43</v>
      </c>
      <c r="Q470" s="8" t="s">
        <v>44</v>
      </c>
      <c r="R470" s="10" t="s">
        <v>2869</v>
      </c>
      <c r="S470" s="11"/>
      <c r="T470" s="6"/>
      <c r="U470" s="28" t="str">
        <f>HYPERLINK("https://media.infra-m.ru/1984/1984071/cover/1984071.jpg", "Обложка")</f>
        <v>Обложка</v>
      </c>
      <c r="V470" s="28" t="str">
        <f>HYPERLINK("https://znanium.com/catalog/product/1984071", "Ознакомиться")</f>
        <v>Ознакомиться</v>
      </c>
      <c r="W470" s="8" t="s">
        <v>110</v>
      </c>
      <c r="X470" s="6" t="s">
        <v>2136</v>
      </c>
      <c r="Y470" s="6"/>
      <c r="Z470" s="6"/>
      <c r="AA470" s="6" t="s">
        <v>112</v>
      </c>
    </row>
    <row r="471" spans="1:27" s="4" customFormat="1" ht="51.95" customHeight="1">
      <c r="A471" s="5">
        <v>0</v>
      </c>
      <c r="B471" s="6" t="s">
        <v>2870</v>
      </c>
      <c r="C471" s="13">
        <v>1194.9000000000001</v>
      </c>
      <c r="D471" s="8" t="s">
        <v>2871</v>
      </c>
      <c r="E471" s="8" t="s">
        <v>2872</v>
      </c>
      <c r="F471" s="8" t="s">
        <v>2873</v>
      </c>
      <c r="G471" s="6" t="s">
        <v>37</v>
      </c>
      <c r="H471" s="6" t="s">
        <v>38</v>
      </c>
      <c r="I471" s="8" t="s">
        <v>39</v>
      </c>
      <c r="J471" s="9">
        <v>1</v>
      </c>
      <c r="K471" s="9">
        <v>397</v>
      </c>
      <c r="L471" s="9">
        <v>2018</v>
      </c>
      <c r="M471" s="8" t="s">
        <v>2874</v>
      </c>
      <c r="N471" s="8" t="s">
        <v>41</v>
      </c>
      <c r="O471" s="8" t="s">
        <v>42</v>
      </c>
      <c r="P471" s="6" t="s">
        <v>54</v>
      </c>
      <c r="Q471" s="8" t="s">
        <v>44</v>
      </c>
      <c r="R471" s="10"/>
      <c r="S471" s="11"/>
      <c r="T471" s="6"/>
      <c r="U471" s="28" t="str">
        <f>HYPERLINK("https://media.infra-m.ru/0566/0566176/cover/566176.jpg", "Обложка")</f>
        <v>Обложка</v>
      </c>
      <c r="V471" s="12"/>
      <c r="W471" s="8"/>
      <c r="X471" s="6"/>
      <c r="Y471" s="6"/>
      <c r="Z471" s="6"/>
      <c r="AA471" s="6" t="s">
        <v>47</v>
      </c>
    </row>
    <row r="472" spans="1:27" s="4" customFormat="1" ht="42" customHeight="1">
      <c r="A472" s="5">
        <v>0</v>
      </c>
      <c r="B472" s="6" t="s">
        <v>2875</v>
      </c>
      <c r="C472" s="13">
        <v>1004</v>
      </c>
      <c r="D472" s="8" t="s">
        <v>2876</v>
      </c>
      <c r="E472" s="8" t="s">
        <v>2877</v>
      </c>
      <c r="F472" s="8" t="s">
        <v>2878</v>
      </c>
      <c r="G472" s="6" t="s">
        <v>63</v>
      </c>
      <c r="H472" s="6" t="s">
        <v>64</v>
      </c>
      <c r="I472" s="8" t="s">
        <v>1465</v>
      </c>
      <c r="J472" s="9">
        <v>1</v>
      </c>
      <c r="K472" s="9">
        <v>219</v>
      </c>
      <c r="L472" s="9">
        <v>2023</v>
      </c>
      <c r="M472" s="8" t="s">
        <v>2879</v>
      </c>
      <c r="N472" s="8" t="s">
        <v>41</v>
      </c>
      <c r="O472" s="8" t="s">
        <v>97</v>
      </c>
      <c r="P472" s="6" t="s">
        <v>43</v>
      </c>
      <c r="Q472" s="8" t="s">
        <v>44</v>
      </c>
      <c r="R472" s="10" t="s">
        <v>1617</v>
      </c>
      <c r="S472" s="11"/>
      <c r="T472" s="6"/>
      <c r="U472" s="28" t="str">
        <f>HYPERLINK("https://media.infra-m.ru/2080/2080765/cover/2080765.jpg", "Обложка")</f>
        <v>Обложка</v>
      </c>
      <c r="V472" s="28" t="str">
        <f>HYPERLINK("https://znanium.com/catalog/product/1873038", "Ознакомиться")</f>
        <v>Ознакомиться</v>
      </c>
      <c r="W472" s="8" t="s">
        <v>110</v>
      </c>
      <c r="X472" s="6"/>
      <c r="Y472" s="6"/>
      <c r="Z472" s="6"/>
      <c r="AA472" s="6" t="s">
        <v>166</v>
      </c>
    </row>
    <row r="473" spans="1:27" s="4" customFormat="1" ht="51.95" customHeight="1">
      <c r="A473" s="5">
        <v>0</v>
      </c>
      <c r="B473" s="6" t="s">
        <v>2880</v>
      </c>
      <c r="C473" s="13">
        <v>1860</v>
      </c>
      <c r="D473" s="8" t="s">
        <v>2881</v>
      </c>
      <c r="E473" s="8" t="s">
        <v>2882</v>
      </c>
      <c r="F473" s="8" t="s">
        <v>2762</v>
      </c>
      <c r="G473" s="6" t="s">
        <v>95</v>
      </c>
      <c r="H473" s="6" t="s">
        <v>64</v>
      </c>
      <c r="I473" s="8" t="s">
        <v>185</v>
      </c>
      <c r="J473" s="9">
        <v>1</v>
      </c>
      <c r="K473" s="9">
        <v>414</v>
      </c>
      <c r="L473" s="9">
        <v>2023</v>
      </c>
      <c r="M473" s="8" t="s">
        <v>2883</v>
      </c>
      <c r="N473" s="8" t="s">
        <v>41</v>
      </c>
      <c r="O473" s="8" t="s">
        <v>97</v>
      </c>
      <c r="P473" s="6" t="s">
        <v>67</v>
      </c>
      <c r="Q473" s="8" t="s">
        <v>134</v>
      </c>
      <c r="R473" s="10" t="s">
        <v>227</v>
      </c>
      <c r="S473" s="11" t="s">
        <v>417</v>
      </c>
      <c r="T473" s="6"/>
      <c r="U473" s="28" t="str">
        <f>HYPERLINK("https://media.infra-m.ru/2073/2073443/cover/2073443.jpg", "Обложка")</f>
        <v>Обложка</v>
      </c>
      <c r="V473" s="28" t="str">
        <f>HYPERLINK("https://znanium.com/catalog/product/1907501", "Ознакомиться")</f>
        <v>Ознакомиться</v>
      </c>
      <c r="W473" s="8" t="s">
        <v>120</v>
      </c>
      <c r="X473" s="6"/>
      <c r="Y473" s="6"/>
      <c r="Z473" s="6"/>
      <c r="AA473" s="6" t="s">
        <v>127</v>
      </c>
    </row>
    <row r="474" spans="1:27" s="4" customFormat="1" ht="21.95" customHeight="1">
      <c r="A474" s="5">
        <v>0</v>
      </c>
      <c r="B474" s="6" t="s">
        <v>2884</v>
      </c>
      <c r="C474" s="7">
        <v>84.9</v>
      </c>
      <c r="D474" s="8" t="s">
        <v>2885</v>
      </c>
      <c r="E474" s="8" t="s">
        <v>2886</v>
      </c>
      <c r="F474" s="8"/>
      <c r="G474" s="6" t="s">
        <v>37</v>
      </c>
      <c r="H474" s="6" t="s">
        <v>38</v>
      </c>
      <c r="I474" s="8" t="s">
        <v>303</v>
      </c>
      <c r="J474" s="9">
        <v>1</v>
      </c>
      <c r="K474" s="9">
        <v>143</v>
      </c>
      <c r="L474" s="9">
        <v>2016</v>
      </c>
      <c r="M474" s="8" t="s">
        <v>2887</v>
      </c>
      <c r="N474" s="8" t="s">
        <v>41</v>
      </c>
      <c r="O474" s="8" t="s">
        <v>97</v>
      </c>
      <c r="P474" s="6" t="s">
        <v>305</v>
      </c>
      <c r="Q474" s="8" t="s">
        <v>86</v>
      </c>
      <c r="R474" s="10" t="s">
        <v>227</v>
      </c>
      <c r="S474" s="11"/>
      <c r="T474" s="6"/>
      <c r="U474" s="12"/>
      <c r="V474" s="28" t="str">
        <f>HYPERLINK("https://znanium.com/catalog/product/614991", "Ознакомиться")</f>
        <v>Ознакомиться</v>
      </c>
      <c r="W474" s="8"/>
      <c r="X474" s="6"/>
      <c r="Y474" s="6"/>
      <c r="Z474" s="6"/>
      <c r="AA474" s="6" t="s">
        <v>469</v>
      </c>
    </row>
    <row r="475" spans="1:27" s="4" customFormat="1" ht="42" customHeight="1">
      <c r="A475" s="5">
        <v>0</v>
      </c>
      <c r="B475" s="6" t="s">
        <v>2888</v>
      </c>
      <c r="C475" s="7">
        <v>749.9</v>
      </c>
      <c r="D475" s="8" t="s">
        <v>2889</v>
      </c>
      <c r="E475" s="8" t="s">
        <v>2890</v>
      </c>
      <c r="F475" s="8" t="s">
        <v>2891</v>
      </c>
      <c r="G475" s="6" t="s">
        <v>1806</v>
      </c>
      <c r="H475" s="6" t="s">
        <v>1101</v>
      </c>
      <c r="I475" s="8" t="s">
        <v>39</v>
      </c>
      <c r="J475" s="9">
        <v>10</v>
      </c>
      <c r="K475" s="9">
        <v>397</v>
      </c>
      <c r="L475" s="9">
        <v>2015</v>
      </c>
      <c r="M475" s="8" t="s">
        <v>2892</v>
      </c>
      <c r="N475" s="8" t="s">
        <v>41</v>
      </c>
      <c r="O475" s="8" t="s">
        <v>97</v>
      </c>
      <c r="P475" s="6" t="s">
        <v>43</v>
      </c>
      <c r="Q475" s="8" t="s">
        <v>44</v>
      </c>
      <c r="R475" s="10" t="s">
        <v>2893</v>
      </c>
      <c r="S475" s="11"/>
      <c r="T475" s="6"/>
      <c r="U475" s="28" t="str">
        <f>HYPERLINK("https://media.infra-m.ru/0510/0510439/cover/510439.jpg", "Обложка")</f>
        <v>Обложка</v>
      </c>
      <c r="V475" s="28" t="str">
        <f>HYPERLINK("https://znanium.com/catalog/product/204714", "Ознакомиться")</f>
        <v>Ознакомиться</v>
      </c>
      <c r="W475" s="8" t="s">
        <v>564</v>
      </c>
      <c r="X475" s="6"/>
      <c r="Y475" s="6"/>
      <c r="Z475" s="6"/>
      <c r="AA475" s="6" t="s">
        <v>610</v>
      </c>
    </row>
    <row r="476" spans="1:27" s="4" customFormat="1" ht="42" customHeight="1">
      <c r="A476" s="5">
        <v>0</v>
      </c>
      <c r="B476" s="6" t="s">
        <v>2894</v>
      </c>
      <c r="C476" s="7">
        <v>900</v>
      </c>
      <c r="D476" s="8" t="s">
        <v>2895</v>
      </c>
      <c r="E476" s="8" t="s">
        <v>2896</v>
      </c>
      <c r="F476" s="8" t="s">
        <v>321</v>
      </c>
      <c r="G476" s="6" t="s">
        <v>63</v>
      </c>
      <c r="H476" s="6" t="s">
        <v>64</v>
      </c>
      <c r="I476" s="8"/>
      <c r="J476" s="9">
        <v>1</v>
      </c>
      <c r="K476" s="9">
        <v>222</v>
      </c>
      <c r="L476" s="9">
        <v>2022</v>
      </c>
      <c r="M476" s="8" t="s">
        <v>2897</v>
      </c>
      <c r="N476" s="8" t="s">
        <v>41</v>
      </c>
      <c r="O476" s="8" t="s">
        <v>97</v>
      </c>
      <c r="P476" s="6" t="s">
        <v>2898</v>
      </c>
      <c r="Q476" s="8" t="s">
        <v>44</v>
      </c>
      <c r="R476" s="10" t="s">
        <v>422</v>
      </c>
      <c r="S476" s="11"/>
      <c r="T476" s="6"/>
      <c r="U476" s="28" t="str">
        <f>HYPERLINK("https://media.infra-m.ru/1861/1861789/cover/1861789.jpg", "Обложка")</f>
        <v>Обложка</v>
      </c>
      <c r="V476" s="28" t="str">
        <f>HYPERLINK("https://znanium.com/catalog/product/1861789", "Ознакомиться")</f>
        <v>Ознакомиться</v>
      </c>
      <c r="W476" s="8" t="s">
        <v>324</v>
      </c>
      <c r="X476" s="6"/>
      <c r="Y476" s="6"/>
      <c r="Z476" s="6"/>
      <c r="AA476" s="6" t="s">
        <v>632</v>
      </c>
    </row>
    <row r="477" spans="1:27" s="4" customFormat="1" ht="42" customHeight="1">
      <c r="A477" s="5">
        <v>0</v>
      </c>
      <c r="B477" s="6" t="s">
        <v>2899</v>
      </c>
      <c r="C477" s="13">
        <v>1319.9</v>
      </c>
      <c r="D477" s="8" t="s">
        <v>2900</v>
      </c>
      <c r="E477" s="8" t="s">
        <v>2901</v>
      </c>
      <c r="F477" s="8" t="s">
        <v>2902</v>
      </c>
      <c r="G477" s="6" t="s">
        <v>95</v>
      </c>
      <c r="H477" s="6" t="s">
        <v>347</v>
      </c>
      <c r="I477" s="8"/>
      <c r="J477" s="9">
        <v>1</v>
      </c>
      <c r="K477" s="9">
        <v>336</v>
      </c>
      <c r="L477" s="9">
        <v>2019</v>
      </c>
      <c r="M477" s="8" t="s">
        <v>2903</v>
      </c>
      <c r="N477" s="8" t="s">
        <v>41</v>
      </c>
      <c r="O477" s="8" t="s">
        <v>97</v>
      </c>
      <c r="P477" s="6" t="s">
        <v>43</v>
      </c>
      <c r="Q477" s="8" t="s">
        <v>44</v>
      </c>
      <c r="R477" s="10" t="s">
        <v>1617</v>
      </c>
      <c r="S477" s="11"/>
      <c r="T477" s="6"/>
      <c r="U477" s="28" t="str">
        <f>HYPERLINK("https://media.infra-m.ru/1064/1064966/cover/1064966.jpg", "Обложка")</f>
        <v>Обложка</v>
      </c>
      <c r="V477" s="28" t="str">
        <f>HYPERLINK("https://znanium.com/catalog/product/1063562", "Ознакомиться")</f>
        <v>Ознакомиться</v>
      </c>
      <c r="W477" s="8" t="s">
        <v>492</v>
      </c>
      <c r="X477" s="6"/>
      <c r="Y477" s="6"/>
      <c r="Z477" s="6"/>
      <c r="AA477" s="6" t="s">
        <v>166</v>
      </c>
    </row>
    <row r="478" spans="1:27" s="4" customFormat="1" ht="42" customHeight="1">
      <c r="A478" s="5">
        <v>0</v>
      </c>
      <c r="B478" s="6" t="s">
        <v>2904</v>
      </c>
      <c r="C478" s="13">
        <v>1330</v>
      </c>
      <c r="D478" s="8" t="s">
        <v>2905</v>
      </c>
      <c r="E478" s="8" t="s">
        <v>2906</v>
      </c>
      <c r="F478" s="8" t="s">
        <v>2907</v>
      </c>
      <c r="G478" s="6" t="s">
        <v>63</v>
      </c>
      <c r="H478" s="6" t="s">
        <v>64</v>
      </c>
      <c r="I478" s="8" t="s">
        <v>39</v>
      </c>
      <c r="J478" s="9">
        <v>1</v>
      </c>
      <c r="K478" s="9">
        <v>289</v>
      </c>
      <c r="L478" s="9">
        <v>2024</v>
      </c>
      <c r="M478" s="8" t="s">
        <v>2908</v>
      </c>
      <c r="N478" s="8" t="s">
        <v>41</v>
      </c>
      <c r="O478" s="8" t="s">
        <v>85</v>
      </c>
      <c r="P478" s="6" t="s">
        <v>43</v>
      </c>
      <c r="Q478" s="8" t="s">
        <v>44</v>
      </c>
      <c r="R478" s="10" t="s">
        <v>98</v>
      </c>
      <c r="S478" s="11"/>
      <c r="T478" s="6" t="s">
        <v>144</v>
      </c>
      <c r="U478" s="28" t="str">
        <f>HYPERLINK("https://media.infra-m.ru/2117/2117173/cover/2117173.jpg", "Обложка")</f>
        <v>Обложка</v>
      </c>
      <c r="V478" s="28" t="str">
        <f>HYPERLINK("https://znanium.com/catalog/product/2117173", "Ознакомиться")</f>
        <v>Ознакомиться</v>
      </c>
      <c r="W478" s="8" t="s">
        <v>120</v>
      </c>
      <c r="X478" s="6"/>
      <c r="Y478" s="6"/>
      <c r="Z478" s="6"/>
      <c r="AA478" s="6" t="s">
        <v>78</v>
      </c>
    </row>
    <row r="479" spans="1:27" s="4" customFormat="1" ht="42" customHeight="1">
      <c r="A479" s="5">
        <v>0</v>
      </c>
      <c r="B479" s="6" t="s">
        <v>2909</v>
      </c>
      <c r="C479" s="7">
        <v>814.9</v>
      </c>
      <c r="D479" s="8" t="s">
        <v>2910</v>
      </c>
      <c r="E479" s="8" t="s">
        <v>2911</v>
      </c>
      <c r="F479" s="8" t="s">
        <v>1827</v>
      </c>
      <c r="G479" s="6" t="s">
        <v>95</v>
      </c>
      <c r="H479" s="6" t="s">
        <v>64</v>
      </c>
      <c r="I479" s="8" t="s">
        <v>39</v>
      </c>
      <c r="J479" s="9">
        <v>1</v>
      </c>
      <c r="K479" s="9">
        <v>234</v>
      </c>
      <c r="L479" s="9">
        <v>2020</v>
      </c>
      <c r="M479" s="8" t="s">
        <v>2912</v>
      </c>
      <c r="N479" s="8" t="s">
        <v>41</v>
      </c>
      <c r="O479" s="8" t="s">
        <v>97</v>
      </c>
      <c r="P479" s="6" t="s">
        <v>43</v>
      </c>
      <c r="Q479" s="8" t="s">
        <v>44</v>
      </c>
      <c r="R479" s="10" t="s">
        <v>2913</v>
      </c>
      <c r="S479" s="11"/>
      <c r="T479" s="6"/>
      <c r="U479" s="28" t="str">
        <f>HYPERLINK("https://media.infra-m.ru/1081/1081954/cover/1081954.jpg", "Обложка")</f>
        <v>Обложка</v>
      </c>
      <c r="V479" s="28" t="str">
        <f>HYPERLINK("https://znanium.com/catalog/product/941251", "Ознакомиться")</f>
        <v>Ознакомиться</v>
      </c>
      <c r="W479" s="8" t="s">
        <v>1537</v>
      </c>
      <c r="X479" s="6"/>
      <c r="Y479" s="6"/>
      <c r="Z479" s="6"/>
      <c r="AA479" s="6" t="s">
        <v>317</v>
      </c>
    </row>
    <row r="480" spans="1:27" s="4" customFormat="1" ht="51.95" customHeight="1">
      <c r="A480" s="5">
        <v>0</v>
      </c>
      <c r="B480" s="6" t="s">
        <v>2914</v>
      </c>
      <c r="C480" s="13">
        <v>1034</v>
      </c>
      <c r="D480" s="8" t="s">
        <v>2915</v>
      </c>
      <c r="E480" s="8" t="s">
        <v>2916</v>
      </c>
      <c r="F480" s="8" t="s">
        <v>1431</v>
      </c>
      <c r="G480" s="6" t="s">
        <v>63</v>
      </c>
      <c r="H480" s="6" t="s">
        <v>125</v>
      </c>
      <c r="I480" s="8" t="s">
        <v>1989</v>
      </c>
      <c r="J480" s="9">
        <v>1</v>
      </c>
      <c r="K480" s="9">
        <v>228</v>
      </c>
      <c r="L480" s="9">
        <v>2023</v>
      </c>
      <c r="M480" s="8" t="s">
        <v>2917</v>
      </c>
      <c r="N480" s="8" t="s">
        <v>41</v>
      </c>
      <c r="O480" s="8" t="s">
        <v>97</v>
      </c>
      <c r="P480" s="6" t="s">
        <v>67</v>
      </c>
      <c r="Q480" s="8" t="s">
        <v>55</v>
      </c>
      <c r="R480" s="10" t="s">
        <v>2918</v>
      </c>
      <c r="S480" s="11"/>
      <c r="T480" s="6"/>
      <c r="U480" s="28" t="str">
        <f>HYPERLINK("https://media.infra-m.ru/2006/2006079/cover/2006079.jpg", "Обложка")</f>
        <v>Обложка</v>
      </c>
      <c r="V480" s="28" t="str">
        <f>HYPERLINK("https://znanium.com/catalog/product/996151", "Ознакомиться")</f>
        <v>Ознакомиться</v>
      </c>
      <c r="W480" s="8" t="s">
        <v>110</v>
      </c>
      <c r="X480" s="6"/>
      <c r="Y480" s="6"/>
      <c r="Z480" s="6"/>
      <c r="AA480" s="6" t="s">
        <v>71</v>
      </c>
    </row>
    <row r="481" spans="1:27" s="4" customFormat="1" ht="51.95" customHeight="1">
      <c r="A481" s="5">
        <v>0</v>
      </c>
      <c r="B481" s="6" t="s">
        <v>2919</v>
      </c>
      <c r="C481" s="7">
        <v>704.9</v>
      </c>
      <c r="D481" s="8" t="s">
        <v>2920</v>
      </c>
      <c r="E481" s="8" t="s">
        <v>2921</v>
      </c>
      <c r="F481" s="8" t="s">
        <v>2922</v>
      </c>
      <c r="G481" s="6" t="s">
        <v>95</v>
      </c>
      <c r="H481" s="6" t="s">
        <v>64</v>
      </c>
      <c r="I481" s="8"/>
      <c r="J481" s="9">
        <v>1</v>
      </c>
      <c r="K481" s="9">
        <v>180</v>
      </c>
      <c r="L481" s="9">
        <v>2022</v>
      </c>
      <c r="M481" s="8" t="s">
        <v>2923</v>
      </c>
      <c r="N481" s="8" t="s">
        <v>41</v>
      </c>
      <c r="O481" s="8" t="s">
        <v>97</v>
      </c>
      <c r="P481" s="6" t="s">
        <v>43</v>
      </c>
      <c r="Q481" s="8" t="s">
        <v>44</v>
      </c>
      <c r="R481" s="10" t="s">
        <v>1005</v>
      </c>
      <c r="S481" s="11"/>
      <c r="T481" s="6" t="s">
        <v>144</v>
      </c>
      <c r="U481" s="28" t="str">
        <f>HYPERLINK("https://media.infra-m.ru/1081/1081400/cover/1081400.jpg", "Обложка")</f>
        <v>Обложка</v>
      </c>
      <c r="V481" s="28" t="str">
        <f>HYPERLINK("https://znanium.com/catalog/product/1081400", "Ознакомиться")</f>
        <v>Ознакомиться</v>
      </c>
      <c r="W481" s="8" t="s">
        <v>110</v>
      </c>
      <c r="X481" s="6"/>
      <c r="Y481" s="6"/>
      <c r="Z481" s="6"/>
      <c r="AA481" s="6" t="s">
        <v>317</v>
      </c>
    </row>
    <row r="482" spans="1:27" s="4" customFormat="1" ht="42" customHeight="1">
      <c r="A482" s="5">
        <v>0</v>
      </c>
      <c r="B482" s="6" t="s">
        <v>2924</v>
      </c>
      <c r="C482" s="13">
        <v>1040</v>
      </c>
      <c r="D482" s="8" t="s">
        <v>2925</v>
      </c>
      <c r="E482" s="8" t="s">
        <v>2926</v>
      </c>
      <c r="F482" s="8" t="s">
        <v>2927</v>
      </c>
      <c r="G482" s="6" t="s">
        <v>63</v>
      </c>
      <c r="H482" s="6" t="s">
        <v>347</v>
      </c>
      <c r="I482" s="8"/>
      <c r="J482" s="9">
        <v>1</v>
      </c>
      <c r="K482" s="9">
        <v>224</v>
      </c>
      <c r="L482" s="9">
        <v>2024</v>
      </c>
      <c r="M482" s="8" t="s">
        <v>2928</v>
      </c>
      <c r="N482" s="8" t="s">
        <v>41</v>
      </c>
      <c r="O482" s="8" t="s">
        <v>97</v>
      </c>
      <c r="P482" s="6" t="s">
        <v>43</v>
      </c>
      <c r="Q482" s="8" t="s">
        <v>44</v>
      </c>
      <c r="R482" s="10" t="s">
        <v>2197</v>
      </c>
      <c r="S482" s="11"/>
      <c r="T482" s="6"/>
      <c r="U482" s="28" t="str">
        <f>HYPERLINK("https://media.infra-m.ru/2122/2122041/cover/2122041.jpg", "Обложка")</f>
        <v>Обложка</v>
      </c>
      <c r="V482" s="28" t="str">
        <f>HYPERLINK("https://znanium.com/catalog/product/2122041", "Ознакомиться")</f>
        <v>Ознакомиться</v>
      </c>
      <c r="W482" s="8"/>
      <c r="X482" s="6"/>
      <c r="Y482" s="6"/>
      <c r="Z482" s="6"/>
      <c r="AA482" s="6" t="s">
        <v>687</v>
      </c>
    </row>
    <row r="483" spans="1:27" s="4" customFormat="1" ht="51.95" customHeight="1">
      <c r="A483" s="5">
        <v>0</v>
      </c>
      <c r="B483" s="6" t="s">
        <v>2929</v>
      </c>
      <c r="C483" s="7">
        <v>544</v>
      </c>
      <c r="D483" s="8" t="s">
        <v>2930</v>
      </c>
      <c r="E483" s="8" t="s">
        <v>2931</v>
      </c>
      <c r="F483" s="8" t="s">
        <v>2932</v>
      </c>
      <c r="G483" s="6" t="s">
        <v>37</v>
      </c>
      <c r="H483" s="6" t="s">
        <v>347</v>
      </c>
      <c r="I483" s="8"/>
      <c r="J483" s="9">
        <v>1</v>
      </c>
      <c r="K483" s="9">
        <v>120</v>
      </c>
      <c r="L483" s="9">
        <v>2023</v>
      </c>
      <c r="M483" s="8" t="s">
        <v>2933</v>
      </c>
      <c r="N483" s="8" t="s">
        <v>41</v>
      </c>
      <c r="O483" s="8" t="s">
        <v>97</v>
      </c>
      <c r="P483" s="6" t="s">
        <v>54</v>
      </c>
      <c r="Q483" s="8" t="s">
        <v>134</v>
      </c>
      <c r="R483" s="10" t="s">
        <v>2934</v>
      </c>
      <c r="S483" s="11"/>
      <c r="T483" s="6"/>
      <c r="U483" s="28" t="str">
        <f>HYPERLINK("https://media.infra-m.ru/2006/2006833/cover/2006833.jpg", "Обложка")</f>
        <v>Обложка</v>
      </c>
      <c r="V483" s="28" t="str">
        <f>HYPERLINK("https://znanium.com/catalog/product/907490", "Ознакомиться")</f>
        <v>Ознакомиться</v>
      </c>
      <c r="W483" s="8" t="s">
        <v>110</v>
      </c>
      <c r="X483" s="6"/>
      <c r="Y483" s="6"/>
      <c r="Z483" s="6"/>
      <c r="AA483" s="6" t="s">
        <v>206</v>
      </c>
    </row>
    <row r="484" spans="1:27" s="4" customFormat="1" ht="51.95" customHeight="1">
      <c r="A484" s="5">
        <v>0</v>
      </c>
      <c r="B484" s="6" t="s">
        <v>2935</v>
      </c>
      <c r="C484" s="13">
        <v>1114</v>
      </c>
      <c r="D484" s="8" t="s">
        <v>2936</v>
      </c>
      <c r="E484" s="8" t="s">
        <v>2937</v>
      </c>
      <c r="F484" s="8" t="s">
        <v>2938</v>
      </c>
      <c r="G484" s="6" t="s">
        <v>95</v>
      </c>
      <c r="H484" s="6" t="s">
        <v>64</v>
      </c>
      <c r="I484" s="8" t="s">
        <v>83</v>
      </c>
      <c r="J484" s="9">
        <v>1</v>
      </c>
      <c r="K484" s="9">
        <v>239</v>
      </c>
      <c r="L484" s="9">
        <v>2024</v>
      </c>
      <c r="M484" s="8" t="s">
        <v>2939</v>
      </c>
      <c r="N484" s="8" t="s">
        <v>41</v>
      </c>
      <c r="O484" s="8" t="s">
        <v>97</v>
      </c>
      <c r="P484" s="6" t="s">
        <v>54</v>
      </c>
      <c r="Q484" s="8" t="s">
        <v>86</v>
      </c>
      <c r="R484" s="10" t="s">
        <v>2940</v>
      </c>
      <c r="S484" s="11" t="s">
        <v>2941</v>
      </c>
      <c r="T484" s="6"/>
      <c r="U484" s="28" t="str">
        <f>HYPERLINK("https://media.infra-m.ru/2117/2117061/cover/2117061.jpg", "Обложка")</f>
        <v>Обложка</v>
      </c>
      <c r="V484" s="28" t="str">
        <f>HYPERLINK("https://znanium.com/catalog/product/1013454", "Ознакомиться")</f>
        <v>Ознакомиться</v>
      </c>
      <c r="W484" s="8" t="s">
        <v>110</v>
      </c>
      <c r="X484" s="6"/>
      <c r="Y484" s="6"/>
      <c r="Z484" s="6"/>
      <c r="AA484" s="6" t="s">
        <v>90</v>
      </c>
    </row>
    <row r="485" spans="1:27" s="4" customFormat="1" ht="51.95" customHeight="1">
      <c r="A485" s="5">
        <v>0</v>
      </c>
      <c r="B485" s="6" t="s">
        <v>2942</v>
      </c>
      <c r="C485" s="13">
        <v>1244.9000000000001</v>
      </c>
      <c r="D485" s="8" t="s">
        <v>2943</v>
      </c>
      <c r="E485" s="8" t="s">
        <v>2944</v>
      </c>
      <c r="F485" s="8" t="s">
        <v>2945</v>
      </c>
      <c r="G485" s="6" t="s">
        <v>95</v>
      </c>
      <c r="H485" s="6" t="s">
        <v>64</v>
      </c>
      <c r="I485" s="8" t="s">
        <v>65</v>
      </c>
      <c r="J485" s="9">
        <v>1</v>
      </c>
      <c r="K485" s="9">
        <v>277</v>
      </c>
      <c r="L485" s="9">
        <v>2023</v>
      </c>
      <c r="M485" s="8" t="s">
        <v>2946</v>
      </c>
      <c r="N485" s="8" t="s">
        <v>41</v>
      </c>
      <c r="O485" s="8" t="s">
        <v>97</v>
      </c>
      <c r="P485" s="6" t="s">
        <v>54</v>
      </c>
      <c r="Q485" s="8" t="s">
        <v>55</v>
      </c>
      <c r="R485" s="10" t="s">
        <v>686</v>
      </c>
      <c r="S485" s="11" t="s">
        <v>2947</v>
      </c>
      <c r="T485" s="6" t="s">
        <v>144</v>
      </c>
      <c r="U485" s="28" t="str">
        <f>HYPERLINK("https://media.infra-m.ru/1913/1913004/cover/1913004.jpg", "Обложка")</f>
        <v>Обложка</v>
      </c>
      <c r="V485" s="28" t="str">
        <f>HYPERLINK("https://znanium.com/catalog/product/925824", "Ознакомиться")</f>
        <v>Ознакомиться</v>
      </c>
      <c r="W485" s="8" t="s">
        <v>571</v>
      </c>
      <c r="X485" s="6"/>
      <c r="Y485" s="6"/>
      <c r="Z485" s="6"/>
      <c r="AA485" s="6" t="s">
        <v>78</v>
      </c>
    </row>
    <row r="486" spans="1:27" s="4" customFormat="1" ht="42" customHeight="1">
      <c r="A486" s="5">
        <v>0</v>
      </c>
      <c r="B486" s="6" t="s">
        <v>2948</v>
      </c>
      <c r="C486" s="13">
        <v>1030</v>
      </c>
      <c r="D486" s="8" t="s">
        <v>2949</v>
      </c>
      <c r="E486" s="8" t="s">
        <v>2950</v>
      </c>
      <c r="F486" s="8" t="s">
        <v>2951</v>
      </c>
      <c r="G486" s="6" t="s">
        <v>63</v>
      </c>
      <c r="H486" s="6" t="s">
        <v>64</v>
      </c>
      <c r="I486" s="8" t="s">
        <v>65</v>
      </c>
      <c r="J486" s="9">
        <v>1</v>
      </c>
      <c r="K486" s="9">
        <v>217</v>
      </c>
      <c r="L486" s="9">
        <v>2023</v>
      </c>
      <c r="M486" s="8" t="s">
        <v>2952</v>
      </c>
      <c r="N486" s="8" t="s">
        <v>41</v>
      </c>
      <c r="O486" s="8" t="s">
        <v>97</v>
      </c>
      <c r="P486" s="6" t="s">
        <v>54</v>
      </c>
      <c r="Q486" s="8" t="s">
        <v>55</v>
      </c>
      <c r="R486" s="10" t="s">
        <v>118</v>
      </c>
      <c r="S486" s="11"/>
      <c r="T486" s="6"/>
      <c r="U486" s="28" t="str">
        <f>HYPERLINK("https://media.infra-m.ru/2070/2070060/cover/2070060.jpg", "Обложка")</f>
        <v>Обложка</v>
      </c>
      <c r="V486" s="28" t="str">
        <f>HYPERLINK("https://znanium.com/catalog/product/1874285", "Ознакомиться")</f>
        <v>Ознакомиться</v>
      </c>
      <c r="W486" s="8" t="s">
        <v>476</v>
      </c>
      <c r="X486" s="6"/>
      <c r="Y486" s="6"/>
      <c r="Z486" s="6"/>
      <c r="AA486" s="6" t="s">
        <v>112</v>
      </c>
    </row>
    <row r="487" spans="1:27" s="4" customFormat="1" ht="51.95" customHeight="1">
      <c r="A487" s="5">
        <v>0</v>
      </c>
      <c r="B487" s="6" t="s">
        <v>2953</v>
      </c>
      <c r="C487" s="13">
        <v>1294.9000000000001</v>
      </c>
      <c r="D487" s="8" t="s">
        <v>2954</v>
      </c>
      <c r="E487" s="8" t="s">
        <v>2955</v>
      </c>
      <c r="F487" s="8" t="s">
        <v>2956</v>
      </c>
      <c r="G487" s="6" t="s">
        <v>95</v>
      </c>
      <c r="H487" s="6" t="s">
        <v>64</v>
      </c>
      <c r="I487" s="8" t="s">
        <v>83</v>
      </c>
      <c r="J487" s="9">
        <v>1</v>
      </c>
      <c r="K487" s="9">
        <v>288</v>
      </c>
      <c r="L487" s="9">
        <v>2023</v>
      </c>
      <c r="M487" s="8" t="s">
        <v>2957</v>
      </c>
      <c r="N487" s="8" t="s">
        <v>41</v>
      </c>
      <c r="O487" s="8" t="s">
        <v>97</v>
      </c>
      <c r="P487" s="6" t="s">
        <v>54</v>
      </c>
      <c r="Q487" s="8" t="s">
        <v>86</v>
      </c>
      <c r="R487" s="10" t="s">
        <v>482</v>
      </c>
      <c r="S487" s="11" t="s">
        <v>2958</v>
      </c>
      <c r="T487" s="6"/>
      <c r="U487" s="28" t="str">
        <f>HYPERLINK("https://media.infra-m.ru/1981/1981632/cover/1981632.jpg", "Обложка")</f>
        <v>Обложка</v>
      </c>
      <c r="V487" s="28" t="str">
        <f>HYPERLINK("https://znanium.com/catalog/product/1181037", "Ознакомиться")</f>
        <v>Ознакомиться</v>
      </c>
      <c r="W487" s="8" t="s">
        <v>2959</v>
      </c>
      <c r="X487" s="6"/>
      <c r="Y487" s="6"/>
      <c r="Z487" s="6"/>
      <c r="AA487" s="6" t="s">
        <v>90</v>
      </c>
    </row>
    <row r="488" spans="1:27" s="4" customFormat="1" ht="42" customHeight="1">
      <c r="A488" s="5">
        <v>0</v>
      </c>
      <c r="B488" s="6" t="s">
        <v>2960</v>
      </c>
      <c r="C488" s="7">
        <v>550</v>
      </c>
      <c r="D488" s="8" t="s">
        <v>2961</v>
      </c>
      <c r="E488" s="8" t="s">
        <v>2962</v>
      </c>
      <c r="F488" s="8" t="s">
        <v>2963</v>
      </c>
      <c r="G488" s="6" t="s">
        <v>37</v>
      </c>
      <c r="H488" s="6" t="s">
        <v>64</v>
      </c>
      <c r="I488" s="8" t="s">
        <v>39</v>
      </c>
      <c r="J488" s="9">
        <v>1</v>
      </c>
      <c r="K488" s="9">
        <v>108</v>
      </c>
      <c r="L488" s="9">
        <v>2023</v>
      </c>
      <c r="M488" s="8" t="s">
        <v>2964</v>
      </c>
      <c r="N488" s="8" t="s">
        <v>41</v>
      </c>
      <c r="O488" s="8" t="s">
        <v>97</v>
      </c>
      <c r="P488" s="6" t="s">
        <v>43</v>
      </c>
      <c r="Q488" s="8" t="s">
        <v>44</v>
      </c>
      <c r="R488" s="10" t="s">
        <v>422</v>
      </c>
      <c r="S488" s="11"/>
      <c r="T488" s="6"/>
      <c r="U488" s="28" t="str">
        <f>HYPERLINK("https://media.infra-m.ru/1911/1911193/cover/1911193.jpg", "Обложка")</f>
        <v>Обложка</v>
      </c>
      <c r="V488" s="28" t="str">
        <f>HYPERLINK("https://znanium.com/catalog/product/1911193", "Ознакомиться")</f>
        <v>Ознакомиться</v>
      </c>
      <c r="W488" s="8" t="s">
        <v>120</v>
      </c>
      <c r="X488" s="6"/>
      <c r="Y488" s="6"/>
      <c r="Z488" s="6"/>
      <c r="AA488" s="6" t="s">
        <v>47</v>
      </c>
    </row>
    <row r="489" spans="1:27" s="4" customFormat="1" ht="51.95" customHeight="1">
      <c r="A489" s="5">
        <v>0</v>
      </c>
      <c r="B489" s="6" t="s">
        <v>2965</v>
      </c>
      <c r="C489" s="13">
        <v>1274.9000000000001</v>
      </c>
      <c r="D489" s="8" t="s">
        <v>2966</v>
      </c>
      <c r="E489" s="8" t="s">
        <v>2967</v>
      </c>
      <c r="F489" s="8" t="s">
        <v>2968</v>
      </c>
      <c r="G489" s="6" t="s">
        <v>95</v>
      </c>
      <c r="H489" s="6" t="s">
        <v>64</v>
      </c>
      <c r="I489" s="8" t="s">
        <v>65</v>
      </c>
      <c r="J489" s="9">
        <v>1</v>
      </c>
      <c r="K489" s="9">
        <v>336</v>
      </c>
      <c r="L489" s="9">
        <v>2022</v>
      </c>
      <c r="M489" s="8" t="s">
        <v>2969</v>
      </c>
      <c r="N489" s="8" t="s">
        <v>41</v>
      </c>
      <c r="O489" s="8" t="s">
        <v>97</v>
      </c>
      <c r="P489" s="6" t="s">
        <v>67</v>
      </c>
      <c r="Q489" s="8" t="s">
        <v>86</v>
      </c>
      <c r="R489" s="10" t="s">
        <v>2970</v>
      </c>
      <c r="S489" s="11" t="s">
        <v>2971</v>
      </c>
      <c r="T489" s="6" t="s">
        <v>144</v>
      </c>
      <c r="U489" s="28" t="str">
        <f>HYPERLINK("https://media.infra-m.ru/1844/1844316/cover/1844316.jpg", "Обложка")</f>
        <v>Обложка</v>
      </c>
      <c r="V489" s="28" t="str">
        <f>HYPERLINK("https://znanium.com/catalog/product/1844316", "Ознакомиться")</f>
        <v>Ознакомиться</v>
      </c>
      <c r="W489" s="8" t="s">
        <v>2972</v>
      </c>
      <c r="X489" s="6"/>
      <c r="Y489" s="6"/>
      <c r="Z489" s="6"/>
      <c r="AA489" s="6" t="s">
        <v>47</v>
      </c>
    </row>
    <row r="490" spans="1:27" s="4" customFormat="1" ht="42" customHeight="1">
      <c r="A490" s="5">
        <v>0</v>
      </c>
      <c r="B490" s="6" t="s">
        <v>2973</v>
      </c>
      <c r="C490" s="7">
        <v>784.9</v>
      </c>
      <c r="D490" s="8" t="s">
        <v>2974</v>
      </c>
      <c r="E490" s="8" t="s">
        <v>2975</v>
      </c>
      <c r="F490" s="8" t="s">
        <v>2976</v>
      </c>
      <c r="G490" s="6" t="s">
        <v>37</v>
      </c>
      <c r="H490" s="6" t="s">
        <v>64</v>
      </c>
      <c r="I490" s="8" t="s">
        <v>39</v>
      </c>
      <c r="J490" s="9">
        <v>1</v>
      </c>
      <c r="K490" s="9">
        <v>202</v>
      </c>
      <c r="L490" s="9">
        <v>2022</v>
      </c>
      <c r="M490" s="8" t="s">
        <v>2977</v>
      </c>
      <c r="N490" s="8" t="s">
        <v>41</v>
      </c>
      <c r="O490" s="8" t="s">
        <v>97</v>
      </c>
      <c r="P490" s="6" t="s">
        <v>43</v>
      </c>
      <c r="Q490" s="8" t="s">
        <v>44</v>
      </c>
      <c r="R490" s="10" t="s">
        <v>422</v>
      </c>
      <c r="S490" s="11"/>
      <c r="T490" s="6" t="s">
        <v>144</v>
      </c>
      <c r="U490" s="28" t="str">
        <f>HYPERLINK("https://media.infra-m.ru/1851/1851535/cover/1851535.jpg", "Обложка")</f>
        <v>Обложка</v>
      </c>
      <c r="V490" s="28" t="str">
        <f>HYPERLINK("https://znanium.com/catalog/product/1851535", "Ознакомиться")</f>
        <v>Ознакомиться</v>
      </c>
      <c r="W490" s="8"/>
      <c r="X490" s="6"/>
      <c r="Y490" s="6"/>
      <c r="Z490" s="6"/>
      <c r="AA490" s="6" t="s">
        <v>90</v>
      </c>
    </row>
    <row r="491" spans="1:27" s="4" customFormat="1" ht="51.95" customHeight="1">
      <c r="A491" s="5">
        <v>0</v>
      </c>
      <c r="B491" s="6" t="s">
        <v>2978</v>
      </c>
      <c r="C491" s="7">
        <v>804</v>
      </c>
      <c r="D491" s="8" t="s">
        <v>2979</v>
      </c>
      <c r="E491" s="8" t="s">
        <v>2980</v>
      </c>
      <c r="F491" s="8" t="s">
        <v>2981</v>
      </c>
      <c r="G491" s="6" t="s">
        <v>37</v>
      </c>
      <c r="H491" s="6" t="s">
        <v>347</v>
      </c>
      <c r="I491" s="8"/>
      <c r="J491" s="9">
        <v>1</v>
      </c>
      <c r="K491" s="9">
        <v>176</v>
      </c>
      <c r="L491" s="9">
        <v>2024</v>
      </c>
      <c r="M491" s="8" t="s">
        <v>2982</v>
      </c>
      <c r="N491" s="8" t="s">
        <v>41</v>
      </c>
      <c r="O491" s="8" t="s">
        <v>85</v>
      </c>
      <c r="P491" s="6" t="s">
        <v>43</v>
      </c>
      <c r="Q491" s="8" t="s">
        <v>467</v>
      </c>
      <c r="R491" s="10" t="s">
        <v>2983</v>
      </c>
      <c r="S491" s="11"/>
      <c r="T491" s="6" t="s">
        <v>144</v>
      </c>
      <c r="U491" s="28" t="str">
        <f>HYPERLINK("https://media.infra-m.ru/2087/2087313/cover/2087313.jpg", "Обложка")</f>
        <v>Обложка</v>
      </c>
      <c r="V491" s="28" t="str">
        <f>HYPERLINK("https://znanium.com/catalog/product/1740738", "Ознакомиться")</f>
        <v>Ознакомиться</v>
      </c>
      <c r="W491" s="8" t="s">
        <v>120</v>
      </c>
      <c r="X491" s="6"/>
      <c r="Y491" s="6"/>
      <c r="Z491" s="6"/>
      <c r="AA491" s="6" t="s">
        <v>317</v>
      </c>
    </row>
    <row r="492" spans="1:27" s="4" customFormat="1" ht="51.95" customHeight="1">
      <c r="A492" s="5">
        <v>0</v>
      </c>
      <c r="B492" s="6" t="s">
        <v>2984</v>
      </c>
      <c r="C492" s="13">
        <v>1320</v>
      </c>
      <c r="D492" s="8" t="s">
        <v>2985</v>
      </c>
      <c r="E492" s="8" t="s">
        <v>2986</v>
      </c>
      <c r="F492" s="8" t="s">
        <v>2987</v>
      </c>
      <c r="G492" s="6" t="s">
        <v>37</v>
      </c>
      <c r="H492" s="6" t="s">
        <v>38</v>
      </c>
      <c r="I492" s="8" t="s">
        <v>39</v>
      </c>
      <c r="J492" s="9">
        <v>1</v>
      </c>
      <c r="K492" s="9">
        <v>346</v>
      </c>
      <c r="L492" s="9">
        <v>2022</v>
      </c>
      <c r="M492" s="8" t="s">
        <v>2988</v>
      </c>
      <c r="N492" s="8" t="s">
        <v>41</v>
      </c>
      <c r="O492" s="8" t="s">
        <v>97</v>
      </c>
      <c r="P492" s="6" t="s">
        <v>43</v>
      </c>
      <c r="Q492" s="8" t="s">
        <v>44</v>
      </c>
      <c r="R492" s="10" t="s">
        <v>2989</v>
      </c>
      <c r="S492" s="11"/>
      <c r="T492" s="6" t="s">
        <v>144</v>
      </c>
      <c r="U492" s="28" t="str">
        <f>HYPERLINK("https://media.infra-m.ru/1839/1839914/cover/1839914.jpg", "Обложка")</f>
        <v>Обложка</v>
      </c>
      <c r="V492" s="28" t="str">
        <f>HYPERLINK("https://znanium.com/catalog/product/1839914", "Ознакомиться")</f>
        <v>Ознакомиться</v>
      </c>
      <c r="W492" s="8" t="s">
        <v>2990</v>
      </c>
      <c r="X492" s="6"/>
      <c r="Y492" s="6"/>
      <c r="Z492" s="6"/>
      <c r="AA492" s="6" t="s">
        <v>206</v>
      </c>
    </row>
    <row r="493" spans="1:27" s="4" customFormat="1" ht="42" customHeight="1">
      <c r="A493" s="5">
        <v>0</v>
      </c>
      <c r="B493" s="6" t="s">
        <v>2991</v>
      </c>
      <c r="C493" s="7">
        <v>860</v>
      </c>
      <c r="D493" s="8" t="s">
        <v>2992</v>
      </c>
      <c r="E493" s="8" t="s">
        <v>2993</v>
      </c>
      <c r="F493" s="8" t="s">
        <v>1791</v>
      </c>
      <c r="G493" s="6" t="s">
        <v>37</v>
      </c>
      <c r="H493" s="6" t="s">
        <v>64</v>
      </c>
      <c r="I493" s="8" t="s">
        <v>39</v>
      </c>
      <c r="J493" s="9">
        <v>1</v>
      </c>
      <c r="K493" s="9">
        <v>218</v>
      </c>
      <c r="L493" s="9">
        <v>2021</v>
      </c>
      <c r="M493" s="8" t="s">
        <v>2994</v>
      </c>
      <c r="N493" s="8" t="s">
        <v>41</v>
      </c>
      <c r="O493" s="8" t="s">
        <v>85</v>
      </c>
      <c r="P493" s="6" t="s">
        <v>43</v>
      </c>
      <c r="Q493" s="8" t="s">
        <v>44</v>
      </c>
      <c r="R493" s="10" t="s">
        <v>1256</v>
      </c>
      <c r="S493" s="11"/>
      <c r="T493" s="6" t="s">
        <v>144</v>
      </c>
      <c r="U493" s="28" t="str">
        <f>HYPERLINK("https://media.infra-m.ru/1064/1064905/cover/1064905.jpg", "Обложка")</f>
        <v>Обложка</v>
      </c>
      <c r="V493" s="28" t="str">
        <f>HYPERLINK("https://znanium.com/catalog/product/1064905", "Ознакомиться")</f>
        <v>Ознакомиться</v>
      </c>
      <c r="W493" s="8" t="s">
        <v>1454</v>
      </c>
      <c r="X493" s="6"/>
      <c r="Y493" s="6"/>
      <c r="Z493" s="6"/>
      <c r="AA493" s="6" t="s">
        <v>58</v>
      </c>
    </row>
    <row r="494" spans="1:27" s="4" customFormat="1" ht="42" customHeight="1">
      <c r="A494" s="5">
        <v>0</v>
      </c>
      <c r="B494" s="6" t="s">
        <v>2995</v>
      </c>
      <c r="C494" s="13">
        <v>2070</v>
      </c>
      <c r="D494" s="8" t="s">
        <v>2996</v>
      </c>
      <c r="E494" s="8" t="s">
        <v>2997</v>
      </c>
      <c r="F494" s="8" t="s">
        <v>2998</v>
      </c>
      <c r="G494" s="6" t="s">
        <v>63</v>
      </c>
      <c r="H494" s="6" t="s">
        <v>52</v>
      </c>
      <c r="I494" s="8"/>
      <c r="J494" s="9">
        <v>1</v>
      </c>
      <c r="K494" s="9">
        <v>576</v>
      </c>
      <c r="L494" s="9">
        <v>2021</v>
      </c>
      <c r="M494" s="8" t="s">
        <v>2999</v>
      </c>
      <c r="N494" s="8" t="s">
        <v>41</v>
      </c>
      <c r="O494" s="8" t="s">
        <v>42</v>
      </c>
      <c r="P494" s="6" t="s">
        <v>43</v>
      </c>
      <c r="Q494" s="8" t="s">
        <v>44</v>
      </c>
      <c r="R494" s="10" t="s">
        <v>56</v>
      </c>
      <c r="S494" s="11"/>
      <c r="T494" s="6"/>
      <c r="U494" s="28" t="str">
        <f>HYPERLINK("https://media.infra-m.ru/1227/1227192/cover/1227192.jpg", "Обложка")</f>
        <v>Обложка</v>
      </c>
      <c r="V494" s="28" t="str">
        <f>HYPERLINK("https://znanium.com/catalog/product/1227192", "Ознакомиться")</f>
        <v>Ознакомиться</v>
      </c>
      <c r="W494" s="8" t="s">
        <v>1537</v>
      </c>
      <c r="X494" s="6"/>
      <c r="Y494" s="6"/>
      <c r="Z494" s="6"/>
      <c r="AA494" s="6" t="s">
        <v>251</v>
      </c>
    </row>
    <row r="495" spans="1:27" s="4" customFormat="1" ht="51.95" customHeight="1">
      <c r="A495" s="5">
        <v>0</v>
      </c>
      <c r="B495" s="6" t="s">
        <v>3000</v>
      </c>
      <c r="C495" s="7">
        <v>794.9</v>
      </c>
      <c r="D495" s="8" t="s">
        <v>3001</v>
      </c>
      <c r="E495" s="8" t="s">
        <v>3002</v>
      </c>
      <c r="F495" s="8" t="s">
        <v>3003</v>
      </c>
      <c r="G495" s="6" t="s">
        <v>63</v>
      </c>
      <c r="H495" s="6" t="s">
        <v>52</v>
      </c>
      <c r="I495" s="8"/>
      <c r="J495" s="9">
        <v>1</v>
      </c>
      <c r="K495" s="9">
        <v>176</v>
      </c>
      <c r="L495" s="9">
        <v>2023</v>
      </c>
      <c r="M495" s="8" t="s">
        <v>3004</v>
      </c>
      <c r="N495" s="8" t="s">
        <v>41</v>
      </c>
      <c r="O495" s="8" t="s">
        <v>42</v>
      </c>
      <c r="P495" s="6" t="s">
        <v>54</v>
      </c>
      <c r="Q495" s="8" t="s">
        <v>55</v>
      </c>
      <c r="R495" s="10" t="s">
        <v>407</v>
      </c>
      <c r="S495" s="11"/>
      <c r="T495" s="6"/>
      <c r="U495" s="28" t="str">
        <f>HYPERLINK("https://media.infra-m.ru/2006/2006933/cover/2006933.jpg", "Обложка")</f>
        <v>Обложка</v>
      </c>
      <c r="V495" s="28" t="str">
        <f>HYPERLINK("https://znanium.com/catalog/product/1201974", "Ознакомиться")</f>
        <v>Ознакомиться</v>
      </c>
      <c r="W495" s="8" t="s">
        <v>57</v>
      </c>
      <c r="X495" s="6"/>
      <c r="Y495" s="6"/>
      <c r="Z495" s="6"/>
      <c r="AA495" s="6" t="s">
        <v>441</v>
      </c>
    </row>
    <row r="496" spans="1:27" s="4" customFormat="1" ht="51.95" customHeight="1">
      <c r="A496" s="5">
        <v>0</v>
      </c>
      <c r="B496" s="6" t="s">
        <v>3005</v>
      </c>
      <c r="C496" s="7">
        <v>500</v>
      </c>
      <c r="D496" s="8" t="s">
        <v>3006</v>
      </c>
      <c r="E496" s="8" t="s">
        <v>3007</v>
      </c>
      <c r="F496" s="8" t="s">
        <v>3003</v>
      </c>
      <c r="G496" s="6" t="s">
        <v>95</v>
      </c>
      <c r="H496" s="6" t="s">
        <v>52</v>
      </c>
      <c r="I496" s="8"/>
      <c r="J496" s="9">
        <v>1</v>
      </c>
      <c r="K496" s="9">
        <v>160</v>
      </c>
      <c r="L496" s="9">
        <v>2018</v>
      </c>
      <c r="M496" s="8" t="s">
        <v>3008</v>
      </c>
      <c r="N496" s="8" t="s">
        <v>41</v>
      </c>
      <c r="O496" s="8" t="s">
        <v>42</v>
      </c>
      <c r="P496" s="6" t="s">
        <v>54</v>
      </c>
      <c r="Q496" s="8" t="s">
        <v>55</v>
      </c>
      <c r="R496" s="10" t="s">
        <v>407</v>
      </c>
      <c r="S496" s="11"/>
      <c r="T496" s="6"/>
      <c r="U496" s="28" t="str">
        <f>HYPERLINK("https://media.infra-m.ru/0948/0948181/cover/948181.jpg", "Обложка")</f>
        <v>Обложка</v>
      </c>
      <c r="V496" s="28" t="str">
        <f>HYPERLINK("https://znanium.com/catalog/product/1201974", "Ознакомиться")</f>
        <v>Ознакомиться</v>
      </c>
      <c r="W496" s="8" t="s">
        <v>57</v>
      </c>
      <c r="X496" s="6"/>
      <c r="Y496" s="6"/>
      <c r="Z496" s="6"/>
      <c r="AA496" s="6" t="s">
        <v>71</v>
      </c>
    </row>
    <row r="497" spans="1:27" s="4" customFormat="1" ht="42" customHeight="1">
      <c r="A497" s="5">
        <v>0</v>
      </c>
      <c r="B497" s="6" t="s">
        <v>3009</v>
      </c>
      <c r="C497" s="13">
        <v>1060</v>
      </c>
      <c r="D497" s="8" t="s">
        <v>3010</v>
      </c>
      <c r="E497" s="8" t="s">
        <v>3011</v>
      </c>
      <c r="F497" s="8" t="s">
        <v>3012</v>
      </c>
      <c r="G497" s="6" t="s">
        <v>63</v>
      </c>
      <c r="H497" s="6" t="s">
        <v>52</v>
      </c>
      <c r="I497" s="8"/>
      <c r="J497" s="9">
        <v>1</v>
      </c>
      <c r="K497" s="9">
        <v>272</v>
      </c>
      <c r="L497" s="9">
        <v>2022</v>
      </c>
      <c r="M497" s="8" t="s">
        <v>3013</v>
      </c>
      <c r="N497" s="8" t="s">
        <v>41</v>
      </c>
      <c r="O497" s="8" t="s">
        <v>42</v>
      </c>
      <c r="P497" s="6" t="s">
        <v>43</v>
      </c>
      <c r="Q497" s="8" t="s">
        <v>44</v>
      </c>
      <c r="R497" s="10" t="s">
        <v>1468</v>
      </c>
      <c r="S497" s="11"/>
      <c r="T497" s="6"/>
      <c r="U497" s="28" t="str">
        <f>HYPERLINK("https://media.infra-m.ru/1859/1859983/cover/1859983.jpg", "Обложка")</f>
        <v>Обложка</v>
      </c>
      <c r="V497" s="28" t="str">
        <f>HYPERLINK("https://znanium.com/catalog/product/1859983", "Ознакомиться")</f>
        <v>Ознакомиться</v>
      </c>
      <c r="W497" s="8" t="s">
        <v>3014</v>
      </c>
      <c r="X497" s="6"/>
      <c r="Y497" s="6"/>
      <c r="Z497" s="6"/>
      <c r="AA497" s="6" t="s">
        <v>401</v>
      </c>
    </row>
    <row r="498" spans="1:27" s="4" customFormat="1" ht="51.95" customHeight="1">
      <c r="A498" s="5">
        <v>0</v>
      </c>
      <c r="B498" s="6" t="s">
        <v>3015</v>
      </c>
      <c r="C498" s="7">
        <v>914.9</v>
      </c>
      <c r="D498" s="8" t="s">
        <v>3016</v>
      </c>
      <c r="E498" s="8" t="s">
        <v>3017</v>
      </c>
      <c r="F498" s="8" t="s">
        <v>415</v>
      </c>
      <c r="G498" s="6" t="s">
        <v>95</v>
      </c>
      <c r="H498" s="6" t="s">
        <v>64</v>
      </c>
      <c r="I498" s="8" t="s">
        <v>192</v>
      </c>
      <c r="J498" s="9">
        <v>1</v>
      </c>
      <c r="K498" s="9">
        <v>204</v>
      </c>
      <c r="L498" s="9">
        <v>2023</v>
      </c>
      <c r="M498" s="8" t="s">
        <v>3018</v>
      </c>
      <c r="N498" s="8" t="s">
        <v>41</v>
      </c>
      <c r="O498" s="8" t="s">
        <v>97</v>
      </c>
      <c r="P498" s="6" t="s">
        <v>67</v>
      </c>
      <c r="Q498" s="8" t="s">
        <v>194</v>
      </c>
      <c r="R498" s="10" t="s">
        <v>3019</v>
      </c>
      <c r="S498" s="11" t="s">
        <v>3020</v>
      </c>
      <c r="T498" s="6"/>
      <c r="U498" s="28" t="str">
        <f>HYPERLINK("https://media.infra-m.ru/1976/1976141/cover/1976141.jpg", "Обложка")</f>
        <v>Обложка</v>
      </c>
      <c r="V498" s="28" t="str">
        <f>HYPERLINK("https://znanium.com/catalog/product/1020430", "Ознакомиться")</f>
        <v>Ознакомиться</v>
      </c>
      <c r="W498" s="8" t="s">
        <v>100</v>
      </c>
      <c r="X498" s="6"/>
      <c r="Y498" s="6"/>
      <c r="Z498" s="6"/>
      <c r="AA498" s="6" t="s">
        <v>401</v>
      </c>
    </row>
    <row r="499" spans="1:27" s="4" customFormat="1" ht="44.1" customHeight="1">
      <c r="A499" s="5">
        <v>0</v>
      </c>
      <c r="B499" s="6" t="s">
        <v>3021</v>
      </c>
      <c r="C499" s="7">
        <v>800</v>
      </c>
      <c r="D499" s="8" t="s">
        <v>3022</v>
      </c>
      <c r="E499" s="8" t="s">
        <v>3023</v>
      </c>
      <c r="F499" s="8" t="s">
        <v>3024</v>
      </c>
      <c r="G499" s="6" t="s">
        <v>37</v>
      </c>
      <c r="H499" s="6" t="s">
        <v>64</v>
      </c>
      <c r="I499" s="8" t="s">
        <v>39</v>
      </c>
      <c r="J499" s="9">
        <v>1</v>
      </c>
      <c r="K499" s="9">
        <v>213</v>
      </c>
      <c r="L499" s="9">
        <v>2021</v>
      </c>
      <c r="M499" s="8" t="s">
        <v>3025</v>
      </c>
      <c r="N499" s="8" t="s">
        <v>41</v>
      </c>
      <c r="O499" s="8" t="s">
        <v>97</v>
      </c>
      <c r="P499" s="6" t="s">
        <v>43</v>
      </c>
      <c r="Q499" s="8" t="s">
        <v>44</v>
      </c>
      <c r="R499" s="10" t="s">
        <v>2197</v>
      </c>
      <c r="S499" s="11"/>
      <c r="T499" s="6"/>
      <c r="U499" s="28" t="str">
        <f>HYPERLINK("https://media.infra-m.ru/1080/1080624/cover/1080624.jpg", "Обложка")</f>
        <v>Обложка</v>
      </c>
      <c r="V499" s="28" t="str">
        <f>HYPERLINK("https://znanium.com/catalog/product/1080624", "Ознакомиться")</f>
        <v>Ознакомиться</v>
      </c>
      <c r="W499" s="8" t="s">
        <v>571</v>
      </c>
      <c r="X499" s="6"/>
      <c r="Y499" s="6"/>
      <c r="Z499" s="6"/>
      <c r="AA499" s="6" t="s">
        <v>401</v>
      </c>
    </row>
    <row r="500" spans="1:27" s="4" customFormat="1" ht="42" customHeight="1">
      <c r="A500" s="5">
        <v>0</v>
      </c>
      <c r="B500" s="6" t="s">
        <v>3026</v>
      </c>
      <c r="C500" s="13">
        <v>1424</v>
      </c>
      <c r="D500" s="8" t="s">
        <v>3027</v>
      </c>
      <c r="E500" s="8" t="s">
        <v>3028</v>
      </c>
      <c r="F500" s="8" t="s">
        <v>1100</v>
      </c>
      <c r="G500" s="6" t="s">
        <v>63</v>
      </c>
      <c r="H500" s="6" t="s">
        <v>64</v>
      </c>
      <c r="I500" s="8" t="s">
        <v>39</v>
      </c>
      <c r="J500" s="9">
        <v>1</v>
      </c>
      <c r="K500" s="9">
        <v>315</v>
      </c>
      <c r="L500" s="9">
        <v>2023</v>
      </c>
      <c r="M500" s="8" t="s">
        <v>3029</v>
      </c>
      <c r="N500" s="8" t="s">
        <v>41</v>
      </c>
      <c r="O500" s="8" t="s">
        <v>42</v>
      </c>
      <c r="P500" s="6" t="s">
        <v>43</v>
      </c>
      <c r="Q500" s="8" t="s">
        <v>44</v>
      </c>
      <c r="R500" s="10" t="s">
        <v>2607</v>
      </c>
      <c r="S500" s="11"/>
      <c r="T500" s="6"/>
      <c r="U500" s="28" t="str">
        <f>HYPERLINK("https://media.infra-m.ru/2006/2006063/cover/2006063.jpg", "Обложка")</f>
        <v>Обложка</v>
      </c>
      <c r="V500" s="28" t="str">
        <f>HYPERLINK("https://znanium.com/catalog/product/983164", "Ознакомиться")</f>
        <v>Ознакомиться</v>
      </c>
      <c r="W500" s="8" t="s">
        <v>1105</v>
      </c>
      <c r="X500" s="6"/>
      <c r="Y500" s="6"/>
      <c r="Z500" s="6"/>
      <c r="AA500" s="6" t="s">
        <v>71</v>
      </c>
    </row>
    <row r="501" spans="1:27" s="4" customFormat="1" ht="51.95" customHeight="1">
      <c r="A501" s="5">
        <v>0</v>
      </c>
      <c r="B501" s="6" t="s">
        <v>3030</v>
      </c>
      <c r="C501" s="13">
        <v>1334.9</v>
      </c>
      <c r="D501" s="8" t="s">
        <v>3031</v>
      </c>
      <c r="E501" s="8" t="s">
        <v>3032</v>
      </c>
      <c r="F501" s="8" t="s">
        <v>3033</v>
      </c>
      <c r="G501" s="6" t="s">
        <v>95</v>
      </c>
      <c r="H501" s="6" t="s">
        <v>329</v>
      </c>
      <c r="I501" s="8" t="s">
        <v>330</v>
      </c>
      <c r="J501" s="9">
        <v>1</v>
      </c>
      <c r="K501" s="9">
        <v>352</v>
      </c>
      <c r="L501" s="9">
        <v>2022</v>
      </c>
      <c r="M501" s="8" t="s">
        <v>3034</v>
      </c>
      <c r="N501" s="8" t="s">
        <v>41</v>
      </c>
      <c r="O501" s="8" t="s">
        <v>97</v>
      </c>
      <c r="P501" s="6" t="s">
        <v>54</v>
      </c>
      <c r="Q501" s="8" t="s">
        <v>194</v>
      </c>
      <c r="R501" s="10" t="s">
        <v>195</v>
      </c>
      <c r="S501" s="11" t="s">
        <v>3035</v>
      </c>
      <c r="T501" s="6"/>
      <c r="U501" s="28" t="str">
        <f>HYPERLINK("https://media.infra-m.ru/1815/1815605/cover/1815605.jpg", "Обложка")</f>
        <v>Обложка</v>
      </c>
      <c r="V501" s="28" t="str">
        <f>HYPERLINK("https://znanium.com/catalog/product/1815605", "Ознакомиться")</f>
        <v>Ознакомиться</v>
      </c>
      <c r="W501" s="8" t="s">
        <v>324</v>
      </c>
      <c r="X501" s="6"/>
      <c r="Y501" s="6"/>
      <c r="Z501" s="6"/>
      <c r="AA501" s="6" t="s">
        <v>367</v>
      </c>
    </row>
    <row r="502" spans="1:27" s="4" customFormat="1" ht="51.95" customHeight="1">
      <c r="A502" s="5">
        <v>0</v>
      </c>
      <c r="B502" s="6" t="s">
        <v>3036</v>
      </c>
      <c r="C502" s="13">
        <v>1494</v>
      </c>
      <c r="D502" s="8" t="s">
        <v>3037</v>
      </c>
      <c r="E502" s="8" t="s">
        <v>3038</v>
      </c>
      <c r="F502" s="8" t="s">
        <v>3039</v>
      </c>
      <c r="G502" s="6" t="s">
        <v>95</v>
      </c>
      <c r="H502" s="6" t="s">
        <v>64</v>
      </c>
      <c r="I502" s="8" t="s">
        <v>83</v>
      </c>
      <c r="J502" s="9">
        <v>1</v>
      </c>
      <c r="K502" s="9">
        <v>326</v>
      </c>
      <c r="L502" s="9">
        <v>2022</v>
      </c>
      <c r="M502" s="8" t="s">
        <v>3040</v>
      </c>
      <c r="N502" s="8" t="s">
        <v>41</v>
      </c>
      <c r="O502" s="8" t="s">
        <v>97</v>
      </c>
      <c r="P502" s="6" t="s">
        <v>54</v>
      </c>
      <c r="Q502" s="8" t="s">
        <v>86</v>
      </c>
      <c r="R502" s="10" t="s">
        <v>624</v>
      </c>
      <c r="S502" s="11" t="s">
        <v>778</v>
      </c>
      <c r="T502" s="6"/>
      <c r="U502" s="28" t="str">
        <f>HYPERLINK("https://media.infra-m.ru/1850/1850640/cover/1850640.jpg", "Обложка")</f>
        <v>Обложка</v>
      </c>
      <c r="V502" s="28" t="str">
        <f>HYPERLINK("https://znanium.com/catalog/product/1081133", "Ознакомиться")</f>
        <v>Ознакомиться</v>
      </c>
      <c r="W502" s="8" t="s">
        <v>159</v>
      </c>
      <c r="X502" s="6"/>
      <c r="Y502" s="6"/>
      <c r="Z502" s="6"/>
      <c r="AA502" s="6" t="s">
        <v>927</v>
      </c>
    </row>
    <row r="503" spans="1:27" s="4" customFormat="1" ht="51.95" customHeight="1">
      <c r="A503" s="5">
        <v>0</v>
      </c>
      <c r="B503" s="6" t="s">
        <v>3041</v>
      </c>
      <c r="C503" s="13">
        <v>1764</v>
      </c>
      <c r="D503" s="8" t="s">
        <v>3042</v>
      </c>
      <c r="E503" s="8" t="s">
        <v>3043</v>
      </c>
      <c r="F503" s="8" t="s">
        <v>3044</v>
      </c>
      <c r="G503" s="6" t="s">
        <v>95</v>
      </c>
      <c r="H503" s="6" t="s">
        <v>347</v>
      </c>
      <c r="I503" s="8"/>
      <c r="J503" s="9">
        <v>1</v>
      </c>
      <c r="K503" s="9">
        <v>384</v>
      </c>
      <c r="L503" s="9">
        <v>2024</v>
      </c>
      <c r="M503" s="8" t="s">
        <v>3045</v>
      </c>
      <c r="N503" s="8" t="s">
        <v>41</v>
      </c>
      <c r="O503" s="8" t="s">
        <v>97</v>
      </c>
      <c r="P503" s="6" t="s">
        <v>67</v>
      </c>
      <c r="Q503" s="8" t="s">
        <v>194</v>
      </c>
      <c r="R503" s="10" t="s">
        <v>597</v>
      </c>
      <c r="S503" s="11" t="s">
        <v>3046</v>
      </c>
      <c r="T503" s="6"/>
      <c r="U503" s="28" t="str">
        <f>HYPERLINK("https://media.infra-m.ru/2053/2053200/cover/2053200.jpg", "Обложка")</f>
        <v>Обложка</v>
      </c>
      <c r="V503" s="28" t="str">
        <f>HYPERLINK("https://znanium.com/catalog/product/1052227", "Ознакомиться")</f>
        <v>Ознакомиться</v>
      </c>
      <c r="W503" s="8" t="s">
        <v>579</v>
      </c>
      <c r="X503" s="6"/>
      <c r="Y503" s="6"/>
      <c r="Z503" s="6"/>
      <c r="AA503" s="6" t="s">
        <v>431</v>
      </c>
    </row>
    <row r="504" spans="1:27" s="4" customFormat="1" ht="51.95" customHeight="1">
      <c r="A504" s="5">
        <v>0</v>
      </c>
      <c r="B504" s="6" t="s">
        <v>3047</v>
      </c>
      <c r="C504" s="7">
        <v>94.9</v>
      </c>
      <c r="D504" s="8" t="s">
        <v>3048</v>
      </c>
      <c r="E504" s="8" t="s">
        <v>3032</v>
      </c>
      <c r="F504" s="8" t="s">
        <v>302</v>
      </c>
      <c r="G504" s="6" t="s">
        <v>37</v>
      </c>
      <c r="H504" s="6" t="s">
        <v>38</v>
      </c>
      <c r="I504" s="8" t="s">
        <v>303</v>
      </c>
      <c r="J504" s="9">
        <v>1</v>
      </c>
      <c r="K504" s="9">
        <v>110</v>
      </c>
      <c r="L504" s="9">
        <v>2018</v>
      </c>
      <c r="M504" s="8" t="s">
        <v>3049</v>
      </c>
      <c r="N504" s="8" t="s">
        <v>41</v>
      </c>
      <c r="O504" s="8" t="s">
        <v>97</v>
      </c>
      <c r="P504" s="6" t="s">
        <v>54</v>
      </c>
      <c r="Q504" s="8" t="s">
        <v>86</v>
      </c>
      <c r="R504" s="10" t="s">
        <v>3050</v>
      </c>
      <c r="S504" s="11"/>
      <c r="T504" s="6"/>
      <c r="U504" s="28" t="str">
        <f>HYPERLINK("https://media.infra-m.ru/0939/0939195/cover/939195.jpg", "Обложка")</f>
        <v>Обложка</v>
      </c>
      <c r="V504" s="28" t="str">
        <f>HYPERLINK("https://znanium.com/catalog/product/939195", "Ознакомиться")</f>
        <v>Ознакомиться</v>
      </c>
      <c r="W504" s="8"/>
      <c r="X504" s="6"/>
      <c r="Y504" s="6"/>
      <c r="Z504" s="6"/>
      <c r="AA504" s="6" t="s">
        <v>360</v>
      </c>
    </row>
    <row r="505" spans="1:27" s="4" customFormat="1" ht="42" customHeight="1">
      <c r="A505" s="5">
        <v>0</v>
      </c>
      <c r="B505" s="6" t="s">
        <v>3051</v>
      </c>
      <c r="C505" s="13">
        <v>1120</v>
      </c>
      <c r="D505" s="8" t="s">
        <v>3052</v>
      </c>
      <c r="E505" s="8" t="s">
        <v>3053</v>
      </c>
      <c r="F505" s="8" t="s">
        <v>3054</v>
      </c>
      <c r="G505" s="6" t="s">
        <v>63</v>
      </c>
      <c r="H505" s="6" t="s">
        <v>64</v>
      </c>
      <c r="I505" s="8" t="s">
        <v>39</v>
      </c>
      <c r="J505" s="9">
        <v>1</v>
      </c>
      <c r="K505" s="9">
        <v>329</v>
      </c>
      <c r="L505" s="9">
        <v>2022</v>
      </c>
      <c r="M505" s="8" t="s">
        <v>3055</v>
      </c>
      <c r="N505" s="8" t="s">
        <v>41</v>
      </c>
      <c r="O505" s="8" t="s">
        <v>97</v>
      </c>
      <c r="P505" s="6" t="s">
        <v>43</v>
      </c>
      <c r="Q505" s="8" t="s">
        <v>44</v>
      </c>
      <c r="R505" s="10" t="s">
        <v>227</v>
      </c>
      <c r="S505" s="11"/>
      <c r="T505" s="6"/>
      <c r="U505" s="28" t="str">
        <f>HYPERLINK("https://media.infra-m.ru/1003/1003264/cover/1003264.jpg", "Обложка")</f>
        <v>Обложка</v>
      </c>
      <c r="V505" s="28" t="str">
        <f>HYPERLINK("https://znanium.com/catalog/product/1003264", "Ознакомиться")</f>
        <v>Ознакомиться</v>
      </c>
      <c r="W505" s="8" t="s">
        <v>647</v>
      </c>
      <c r="X505" s="6"/>
      <c r="Y505" s="6"/>
      <c r="Z505" s="6"/>
      <c r="AA505" s="6" t="s">
        <v>251</v>
      </c>
    </row>
    <row r="506" spans="1:27" s="4" customFormat="1" ht="51.95" customHeight="1">
      <c r="A506" s="5">
        <v>0</v>
      </c>
      <c r="B506" s="6" t="s">
        <v>3056</v>
      </c>
      <c r="C506" s="13">
        <v>1590</v>
      </c>
      <c r="D506" s="8" t="s">
        <v>3057</v>
      </c>
      <c r="E506" s="8" t="s">
        <v>3058</v>
      </c>
      <c r="F506" s="8" t="s">
        <v>3059</v>
      </c>
      <c r="G506" s="6" t="s">
        <v>95</v>
      </c>
      <c r="H506" s="6" t="s">
        <v>64</v>
      </c>
      <c r="I506" s="8" t="s">
        <v>65</v>
      </c>
      <c r="J506" s="9">
        <v>1</v>
      </c>
      <c r="K506" s="9">
        <v>390</v>
      </c>
      <c r="L506" s="9">
        <v>2022</v>
      </c>
      <c r="M506" s="8" t="s">
        <v>3060</v>
      </c>
      <c r="N506" s="8" t="s">
        <v>41</v>
      </c>
      <c r="O506" s="8" t="s">
        <v>97</v>
      </c>
      <c r="P506" s="6" t="s">
        <v>54</v>
      </c>
      <c r="Q506" s="8" t="s">
        <v>55</v>
      </c>
      <c r="R506" s="10" t="s">
        <v>482</v>
      </c>
      <c r="S506" s="11" t="s">
        <v>3061</v>
      </c>
      <c r="T506" s="6"/>
      <c r="U506" s="28" t="str">
        <f>HYPERLINK("https://media.infra-m.ru/1031/1031121/cover/1031121.jpg", "Обложка")</f>
        <v>Обложка</v>
      </c>
      <c r="V506" s="28" t="str">
        <f>HYPERLINK("https://znanium.com/catalog/product/1031121", "Ознакомиться")</f>
        <v>Ознакомиться</v>
      </c>
      <c r="W506" s="8" t="s">
        <v>3062</v>
      </c>
      <c r="X506" s="6"/>
      <c r="Y506" s="6"/>
      <c r="Z506" s="6"/>
      <c r="AA506" s="6" t="s">
        <v>687</v>
      </c>
    </row>
    <row r="507" spans="1:27" s="4" customFormat="1" ht="51.95" customHeight="1">
      <c r="A507" s="5">
        <v>0</v>
      </c>
      <c r="B507" s="6" t="s">
        <v>3063</v>
      </c>
      <c r="C507" s="13">
        <v>1390</v>
      </c>
      <c r="D507" s="8" t="s">
        <v>3064</v>
      </c>
      <c r="E507" s="8" t="s">
        <v>3065</v>
      </c>
      <c r="F507" s="8" t="s">
        <v>3066</v>
      </c>
      <c r="G507" s="6" t="s">
        <v>63</v>
      </c>
      <c r="H507" s="6" t="s">
        <v>64</v>
      </c>
      <c r="I507" s="8" t="s">
        <v>39</v>
      </c>
      <c r="J507" s="9">
        <v>1</v>
      </c>
      <c r="K507" s="9">
        <v>308</v>
      </c>
      <c r="L507" s="9">
        <v>2022</v>
      </c>
      <c r="M507" s="8" t="s">
        <v>3067</v>
      </c>
      <c r="N507" s="8" t="s">
        <v>41</v>
      </c>
      <c r="O507" s="8" t="s">
        <v>97</v>
      </c>
      <c r="P507" s="6" t="s">
        <v>43</v>
      </c>
      <c r="Q507" s="8" t="s">
        <v>44</v>
      </c>
      <c r="R507" s="10" t="s">
        <v>3068</v>
      </c>
      <c r="S507" s="11"/>
      <c r="T507" s="6" t="s">
        <v>144</v>
      </c>
      <c r="U507" s="28" t="str">
        <f>HYPERLINK("https://media.infra-m.ru/1856/1856005/cover/1856005.jpg", "Обложка")</f>
        <v>Обложка</v>
      </c>
      <c r="V507" s="28" t="str">
        <f>HYPERLINK("https://znanium.com/catalog/product/1856005", "Ознакомиться")</f>
        <v>Ознакомиться</v>
      </c>
      <c r="W507" s="8" t="s">
        <v>57</v>
      </c>
      <c r="X507" s="6"/>
      <c r="Y507" s="6"/>
      <c r="Z507" s="6"/>
      <c r="AA507" s="6" t="s">
        <v>78</v>
      </c>
    </row>
    <row r="508" spans="1:27" s="4" customFormat="1" ht="51.95" customHeight="1">
      <c r="A508" s="5">
        <v>0</v>
      </c>
      <c r="B508" s="6" t="s">
        <v>3069</v>
      </c>
      <c r="C508" s="13">
        <v>1974</v>
      </c>
      <c r="D508" s="8" t="s">
        <v>3070</v>
      </c>
      <c r="E508" s="8" t="s">
        <v>3071</v>
      </c>
      <c r="F508" s="8" t="s">
        <v>3072</v>
      </c>
      <c r="G508" s="6" t="s">
        <v>63</v>
      </c>
      <c r="H508" s="6" t="s">
        <v>329</v>
      </c>
      <c r="I508" s="8" t="s">
        <v>83</v>
      </c>
      <c r="J508" s="9">
        <v>1</v>
      </c>
      <c r="K508" s="9">
        <v>430</v>
      </c>
      <c r="L508" s="9">
        <v>2024</v>
      </c>
      <c r="M508" s="8" t="s">
        <v>3073</v>
      </c>
      <c r="N508" s="8" t="s">
        <v>41</v>
      </c>
      <c r="O508" s="8" t="s">
        <v>97</v>
      </c>
      <c r="P508" s="6" t="s">
        <v>54</v>
      </c>
      <c r="Q508" s="8" t="s">
        <v>134</v>
      </c>
      <c r="R508" s="10" t="s">
        <v>1210</v>
      </c>
      <c r="S508" s="11" t="s">
        <v>3074</v>
      </c>
      <c r="T508" s="6"/>
      <c r="U508" s="28" t="str">
        <f>HYPERLINK("https://media.infra-m.ru/2074/2074269/cover/2074269.jpg", "Обложка")</f>
        <v>Обложка</v>
      </c>
      <c r="V508" s="28" t="str">
        <f>HYPERLINK("https://znanium.com/catalog/product/1023563", "Ознакомиться")</f>
        <v>Ознакомиться</v>
      </c>
      <c r="W508" s="8"/>
      <c r="X508" s="6"/>
      <c r="Y508" s="6"/>
      <c r="Z508" s="6"/>
      <c r="AA508" s="6" t="s">
        <v>299</v>
      </c>
    </row>
    <row r="509" spans="1:27" s="4" customFormat="1" ht="51.95" customHeight="1">
      <c r="A509" s="5">
        <v>0</v>
      </c>
      <c r="B509" s="6" t="s">
        <v>3075</v>
      </c>
      <c r="C509" s="13">
        <v>1264.9000000000001</v>
      </c>
      <c r="D509" s="8" t="s">
        <v>3076</v>
      </c>
      <c r="E509" s="8" t="s">
        <v>3077</v>
      </c>
      <c r="F509" s="8" t="s">
        <v>3078</v>
      </c>
      <c r="G509" s="6" t="s">
        <v>95</v>
      </c>
      <c r="H509" s="6" t="s">
        <v>329</v>
      </c>
      <c r="I509" s="8" t="s">
        <v>185</v>
      </c>
      <c r="J509" s="9">
        <v>1</v>
      </c>
      <c r="K509" s="9">
        <v>432</v>
      </c>
      <c r="L509" s="9">
        <v>2018</v>
      </c>
      <c r="M509" s="8" t="s">
        <v>3079</v>
      </c>
      <c r="N509" s="8" t="s">
        <v>41</v>
      </c>
      <c r="O509" s="8" t="s">
        <v>97</v>
      </c>
      <c r="P509" s="6" t="s">
        <v>54</v>
      </c>
      <c r="Q509" s="8" t="s">
        <v>86</v>
      </c>
      <c r="R509" s="10" t="s">
        <v>1210</v>
      </c>
      <c r="S509" s="11" t="s">
        <v>3080</v>
      </c>
      <c r="T509" s="6"/>
      <c r="U509" s="28" t="str">
        <f>HYPERLINK("https://media.infra-m.ru/0966/0966744/cover/966744.jpg", "Обложка")</f>
        <v>Обложка</v>
      </c>
      <c r="V509" s="28" t="str">
        <f>HYPERLINK("https://znanium.com/catalog/product/1023563", "Ознакомиться")</f>
        <v>Ознакомиться</v>
      </c>
      <c r="W509" s="8"/>
      <c r="X509" s="6"/>
      <c r="Y509" s="6"/>
      <c r="Z509" s="6"/>
      <c r="AA509" s="6" t="s">
        <v>469</v>
      </c>
    </row>
    <row r="510" spans="1:27" s="4" customFormat="1" ht="42" customHeight="1">
      <c r="A510" s="5">
        <v>0</v>
      </c>
      <c r="B510" s="6" t="s">
        <v>3081</v>
      </c>
      <c r="C510" s="7">
        <v>490</v>
      </c>
      <c r="D510" s="8" t="s">
        <v>3082</v>
      </c>
      <c r="E510" s="8" t="s">
        <v>3083</v>
      </c>
      <c r="F510" s="8" t="s">
        <v>3084</v>
      </c>
      <c r="G510" s="6" t="s">
        <v>37</v>
      </c>
      <c r="H510" s="6" t="s">
        <v>64</v>
      </c>
      <c r="I510" s="8" t="s">
        <v>39</v>
      </c>
      <c r="J510" s="9">
        <v>1</v>
      </c>
      <c r="K510" s="9">
        <v>109</v>
      </c>
      <c r="L510" s="9">
        <v>2022</v>
      </c>
      <c r="M510" s="8" t="s">
        <v>3085</v>
      </c>
      <c r="N510" s="8" t="s">
        <v>41</v>
      </c>
      <c r="O510" s="8" t="s">
        <v>97</v>
      </c>
      <c r="P510" s="6" t="s">
        <v>43</v>
      </c>
      <c r="Q510" s="8" t="s">
        <v>44</v>
      </c>
      <c r="R510" s="10" t="s">
        <v>1611</v>
      </c>
      <c r="S510" s="11"/>
      <c r="T510" s="6"/>
      <c r="U510" s="28" t="str">
        <f>HYPERLINK("https://media.infra-m.ru/1759/1759766/cover/1759766.jpg", "Обложка")</f>
        <v>Обложка</v>
      </c>
      <c r="V510" s="28" t="str">
        <f>HYPERLINK("https://znanium.com/catalog/product/1759766", "Ознакомиться")</f>
        <v>Ознакомиться</v>
      </c>
      <c r="W510" s="8" t="s">
        <v>229</v>
      </c>
      <c r="X510" s="6"/>
      <c r="Y510" s="6"/>
      <c r="Z510" s="6"/>
      <c r="AA510" s="6" t="s">
        <v>206</v>
      </c>
    </row>
    <row r="511" spans="1:27" s="4" customFormat="1" ht="44.1" customHeight="1">
      <c r="A511" s="5">
        <v>0</v>
      </c>
      <c r="B511" s="6" t="s">
        <v>3086</v>
      </c>
      <c r="C511" s="13">
        <v>1694</v>
      </c>
      <c r="D511" s="8" t="s">
        <v>3087</v>
      </c>
      <c r="E511" s="8" t="s">
        <v>3088</v>
      </c>
      <c r="F511" s="8" t="s">
        <v>3089</v>
      </c>
      <c r="G511" s="6" t="s">
        <v>95</v>
      </c>
      <c r="H511" s="6" t="s">
        <v>329</v>
      </c>
      <c r="I511" s="8"/>
      <c r="J511" s="9">
        <v>1</v>
      </c>
      <c r="K511" s="9">
        <v>368</v>
      </c>
      <c r="L511" s="9">
        <v>2023</v>
      </c>
      <c r="M511" s="8" t="s">
        <v>3090</v>
      </c>
      <c r="N511" s="8" t="s">
        <v>41</v>
      </c>
      <c r="O511" s="8" t="s">
        <v>97</v>
      </c>
      <c r="P511" s="6" t="s">
        <v>43</v>
      </c>
      <c r="Q511" s="8" t="s">
        <v>44</v>
      </c>
      <c r="R511" s="10" t="s">
        <v>3091</v>
      </c>
      <c r="S511" s="11"/>
      <c r="T511" s="6"/>
      <c r="U511" s="28" t="str">
        <f>HYPERLINK("https://media.infra-m.ru/2067/2067251/cover/2067251.jpg", "Обложка")</f>
        <v>Обложка</v>
      </c>
      <c r="V511" s="28" t="str">
        <f>HYPERLINK("https://znanium.com/catalog/product/2067251", "Ознакомиться")</f>
        <v>Ознакомиться</v>
      </c>
      <c r="W511" s="8" t="s">
        <v>1211</v>
      </c>
      <c r="X511" s="6"/>
      <c r="Y511" s="6"/>
      <c r="Z511" s="6"/>
      <c r="AA511" s="6" t="s">
        <v>469</v>
      </c>
    </row>
    <row r="512" spans="1:27" s="4" customFormat="1" ht="42" customHeight="1">
      <c r="A512" s="5">
        <v>0</v>
      </c>
      <c r="B512" s="6" t="s">
        <v>3092</v>
      </c>
      <c r="C512" s="7">
        <v>680</v>
      </c>
      <c r="D512" s="8" t="s">
        <v>3093</v>
      </c>
      <c r="E512" s="8" t="s">
        <v>3094</v>
      </c>
      <c r="F512" s="8" t="s">
        <v>2878</v>
      </c>
      <c r="G512" s="6" t="s">
        <v>37</v>
      </c>
      <c r="H512" s="6" t="s">
        <v>64</v>
      </c>
      <c r="I512" s="8" t="s">
        <v>65</v>
      </c>
      <c r="J512" s="9">
        <v>1</v>
      </c>
      <c r="K512" s="9">
        <v>101</v>
      </c>
      <c r="L512" s="9">
        <v>2024</v>
      </c>
      <c r="M512" s="8" t="s">
        <v>3095</v>
      </c>
      <c r="N512" s="8" t="s">
        <v>41</v>
      </c>
      <c r="O512" s="8" t="s">
        <v>97</v>
      </c>
      <c r="P512" s="6" t="s">
        <v>54</v>
      </c>
      <c r="Q512" s="8" t="s">
        <v>55</v>
      </c>
      <c r="R512" s="10" t="s">
        <v>118</v>
      </c>
      <c r="S512" s="11"/>
      <c r="T512" s="6"/>
      <c r="U512" s="28" t="str">
        <f>HYPERLINK("https://media.infra-m.ru/2084/2084463/cover/2084463.jpg", "Обложка")</f>
        <v>Обложка</v>
      </c>
      <c r="V512" s="28" t="str">
        <f>HYPERLINK("https://znanium.com/catalog/product/2084463", "Ознакомиться")</f>
        <v>Ознакомиться</v>
      </c>
      <c r="W512" s="8" t="s">
        <v>110</v>
      </c>
      <c r="X512" s="6"/>
      <c r="Y512" s="6"/>
      <c r="Z512" s="6"/>
      <c r="AA512" s="6" t="s">
        <v>71</v>
      </c>
    </row>
    <row r="513" spans="1:27" s="4" customFormat="1" ht="42" customHeight="1">
      <c r="A513" s="5">
        <v>0</v>
      </c>
      <c r="B513" s="6" t="s">
        <v>3096</v>
      </c>
      <c r="C513" s="13">
        <v>1510</v>
      </c>
      <c r="D513" s="8" t="s">
        <v>3097</v>
      </c>
      <c r="E513" s="8" t="s">
        <v>3098</v>
      </c>
      <c r="F513" s="8" t="s">
        <v>3099</v>
      </c>
      <c r="G513" s="6" t="s">
        <v>37</v>
      </c>
      <c r="H513" s="6" t="s">
        <v>64</v>
      </c>
      <c r="I513" s="8" t="s">
        <v>1465</v>
      </c>
      <c r="J513" s="9">
        <v>1</v>
      </c>
      <c r="K513" s="9">
        <v>328</v>
      </c>
      <c r="L513" s="9">
        <v>2023</v>
      </c>
      <c r="M513" s="8" t="s">
        <v>3100</v>
      </c>
      <c r="N513" s="8" t="s">
        <v>41</v>
      </c>
      <c r="O513" s="8" t="s">
        <v>97</v>
      </c>
      <c r="P513" s="6" t="s">
        <v>43</v>
      </c>
      <c r="Q513" s="8" t="s">
        <v>44</v>
      </c>
      <c r="R513" s="10" t="s">
        <v>142</v>
      </c>
      <c r="S513" s="11"/>
      <c r="T513" s="6"/>
      <c r="U513" s="28" t="str">
        <f>HYPERLINK("https://media.infra-m.ru/2029/2029823/cover/2029823.jpg", "Обложка")</f>
        <v>Обложка</v>
      </c>
      <c r="V513" s="28" t="str">
        <f>HYPERLINK("https://znanium.com/catalog/product/2029823", "Ознакомиться")</f>
        <v>Ознакомиться</v>
      </c>
      <c r="W513" s="8" t="s">
        <v>110</v>
      </c>
      <c r="X513" s="6" t="s">
        <v>3101</v>
      </c>
      <c r="Y513" s="6"/>
      <c r="Z513" s="6"/>
      <c r="AA513" s="6" t="s">
        <v>112</v>
      </c>
    </row>
    <row r="514" spans="1:27" s="4" customFormat="1" ht="51.95" customHeight="1">
      <c r="A514" s="5">
        <v>0</v>
      </c>
      <c r="B514" s="6" t="s">
        <v>3102</v>
      </c>
      <c r="C514" s="13">
        <v>1130</v>
      </c>
      <c r="D514" s="8" t="s">
        <v>3103</v>
      </c>
      <c r="E514" s="8" t="s">
        <v>3104</v>
      </c>
      <c r="F514" s="8" t="s">
        <v>3105</v>
      </c>
      <c r="G514" s="6" t="s">
        <v>63</v>
      </c>
      <c r="H514" s="6" t="s">
        <v>64</v>
      </c>
      <c r="I514" s="8" t="s">
        <v>65</v>
      </c>
      <c r="J514" s="9">
        <v>1</v>
      </c>
      <c r="K514" s="9">
        <v>331</v>
      </c>
      <c r="L514" s="9">
        <v>2021</v>
      </c>
      <c r="M514" s="8" t="s">
        <v>3106</v>
      </c>
      <c r="N514" s="8" t="s">
        <v>41</v>
      </c>
      <c r="O514" s="8" t="s">
        <v>97</v>
      </c>
      <c r="P514" s="6" t="s">
        <v>54</v>
      </c>
      <c r="Q514" s="8" t="s">
        <v>55</v>
      </c>
      <c r="R514" s="10" t="s">
        <v>686</v>
      </c>
      <c r="S514" s="11" t="s">
        <v>3107</v>
      </c>
      <c r="T514" s="6"/>
      <c r="U514" s="28" t="str">
        <f>HYPERLINK("https://media.infra-m.ru/1121/1121560/cover/1121560.jpg", "Обложка")</f>
        <v>Обложка</v>
      </c>
      <c r="V514" s="28" t="str">
        <f>HYPERLINK("https://znanium.com/catalog/product/1862859", "Ознакомиться")</f>
        <v>Ознакомиться</v>
      </c>
      <c r="W514" s="8" t="s">
        <v>3108</v>
      </c>
      <c r="X514" s="6"/>
      <c r="Y514" s="6"/>
      <c r="Z514" s="6"/>
      <c r="AA514" s="6" t="s">
        <v>166</v>
      </c>
    </row>
    <row r="515" spans="1:27" s="4" customFormat="1" ht="51.95" customHeight="1">
      <c r="A515" s="5">
        <v>0</v>
      </c>
      <c r="B515" s="6" t="s">
        <v>3109</v>
      </c>
      <c r="C515" s="13">
        <v>1614</v>
      </c>
      <c r="D515" s="8" t="s">
        <v>3110</v>
      </c>
      <c r="E515" s="8" t="s">
        <v>3111</v>
      </c>
      <c r="F515" s="8" t="s">
        <v>3112</v>
      </c>
      <c r="G515" s="6" t="s">
        <v>95</v>
      </c>
      <c r="H515" s="6" t="s">
        <v>1459</v>
      </c>
      <c r="I515" s="8" t="s">
        <v>390</v>
      </c>
      <c r="J515" s="9">
        <v>1</v>
      </c>
      <c r="K515" s="9">
        <v>352</v>
      </c>
      <c r="L515" s="9">
        <v>2024</v>
      </c>
      <c r="M515" s="8" t="s">
        <v>3113</v>
      </c>
      <c r="N515" s="8" t="s">
        <v>41</v>
      </c>
      <c r="O515" s="8" t="s">
        <v>85</v>
      </c>
      <c r="P515" s="6" t="s">
        <v>67</v>
      </c>
      <c r="Q515" s="8" t="s">
        <v>86</v>
      </c>
      <c r="R515" s="10" t="s">
        <v>3114</v>
      </c>
      <c r="S515" s="11" t="s">
        <v>3115</v>
      </c>
      <c r="T515" s="6"/>
      <c r="U515" s="28" t="str">
        <f>HYPERLINK("https://media.infra-m.ru/2086/2086857/cover/2086857.jpg", "Обложка")</f>
        <v>Обложка</v>
      </c>
      <c r="V515" s="28" t="str">
        <f>HYPERLINK("https://znanium.com/catalog/product/1846717", "Ознакомиться")</f>
        <v>Ознакомиться</v>
      </c>
      <c r="W515" s="8" t="s">
        <v>3116</v>
      </c>
      <c r="X515" s="6"/>
      <c r="Y515" s="6"/>
      <c r="Z515" s="6"/>
      <c r="AA515" s="6" t="s">
        <v>90</v>
      </c>
    </row>
    <row r="516" spans="1:27" s="4" customFormat="1" ht="51.95" customHeight="1">
      <c r="A516" s="5">
        <v>0</v>
      </c>
      <c r="B516" s="6" t="s">
        <v>3117</v>
      </c>
      <c r="C516" s="7">
        <v>844</v>
      </c>
      <c r="D516" s="8" t="s">
        <v>3118</v>
      </c>
      <c r="E516" s="8" t="s">
        <v>3119</v>
      </c>
      <c r="F516" s="8" t="s">
        <v>3120</v>
      </c>
      <c r="G516" s="6" t="s">
        <v>63</v>
      </c>
      <c r="H516" s="6" t="s">
        <v>64</v>
      </c>
      <c r="I516" s="8" t="s">
        <v>217</v>
      </c>
      <c r="J516" s="9">
        <v>1</v>
      </c>
      <c r="K516" s="9">
        <v>186</v>
      </c>
      <c r="L516" s="9">
        <v>2023</v>
      </c>
      <c r="M516" s="8" t="s">
        <v>3121</v>
      </c>
      <c r="N516" s="8" t="s">
        <v>41</v>
      </c>
      <c r="O516" s="8" t="s">
        <v>85</v>
      </c>
      <c r="P516" s="6" t="s">
        <v>54</v>
      </c>
      <c r="Q516" s="8" t="s">
        <v>86</v>
      </c>
      <c r="R516" s="10" t="s">
        <v>373</v>
      </c>
      <c r="S516" s="11" t="s">
        <v>3122</v>
      </c>
      <c r="T516" s="6"/>
      <c r="U516" s="28" t="str">
        <f>HYPERLINK("https://media.infra-m.ru/2021/2021447/cover/2021447.jpg", "Обложка")</f>
        <v>Обложка</v>
      </c>
      <c r="V516" s="28" t="str">
        <f>HYPERLINK("https://znanium.com/catalog/product/1206073", "Ознакомиться")</f>
        <v>Ознакомиться</v>
      </c>
      <c r="W516" s="8" t="s">
        <v>110</v>
      </c>
      <c r="X516" s="6"/>
      <c r="Y516" s="6"/>
      <c r="Z516" s="6"/>
      <c r="AA516" s="6" t="s">
        <v>401</v>
      </c>
    </row>
    <row r="517" spans="1:27" s="4" customFormat="1" ht="51.95" customHeight="1">
      <c r="A517" s="5">
        <v>0</v>
      </c>
      <c r="B517" s="6" t="s">
        <v>3123</v>
      </c>
      <c r="C517" s="7">
        <v>850</v>
      </c>
      <c r="D517" s="8" t="s">
        <v>3124</v>
      </c>
      <c r="E517" s="8" t="s">
        <v>3125</v>
      </c>
      <c r="F517" s="8" t="s">
        <v>3126</v>
      </c>
      <c r="G517" s="6" t="s">
        <v>63</v>
      </c>
      <c r="H517" s="6" t="s">
        <v>125</v>
      </c>
      <c r="I517" s="8" t="s">
        <v>185</v>
      </c>
      <c r="J517" s="9">
        <v>1</v>
      </c>
      <c r="K517" s="9">
        <v>184</v>
      </c>
      <c r="L517" s="9">
        <v>2024</v>
      </c>
      <c r="M517" s="8" t="s">
        <v>3127</v>
      </c>
      <c r="N517" s="8" t="s">
        <v>41</v>
      </c>
      <c r="O517" s="8" t="s">
        <v>97</v>
      </c>
      <c r="P517" s="6" t="s">
        <v>67</v>
      </c>
      <c r="Q517" s="8" t="s">
        <v>86</v>
      </c>
      <c r="R517" s="10" t="s">
        <v>3128</v>
      </c>
      <c r="S517" s="11" t="s">
        <v>417</v>
      </c>
      <c r="T517" s="6"/>
      <c r="U517" s="28" t="str">
        <f>HYPERLINK("https://media.infra-m.ru/2109/2109028/cover/2109028.jpg", "Обложка")</f>
        <v>Обложка</v>
      </c>
      <c r="V517" s="28" t="str">
        <f>HYPERLINK("https://znanium.com/catalog/product/2109028", "Ознакомиться")</f>
        <v>Ознакомиться</v>
      </c>
      <c r="W517" s="8" t="s">
        <v>110</v>
      </c>
      <c r="X517" s="6"/>
      <c r="Y517" s="6"/>
      <c r="Z517" s="6"/>
      <c r="AA517" s="6" t="s">
        <v>78</v>
      </c>
    </row>
    <row r="518" spans="1:27" s="4" customFormat="1" ht="51.95" customHeight="1">
      <c r="A518" s="5">
        <v>0</v>
      </c>
      <c r="B518" s="6" t="s">
        <v>3129</v>
      </c>
      <c r="C518" s="13">
        <v>1394.9</v>
      </c>
      <c r="D518" s="8" t="s">
        <v>3130</v>
      </c>
      <c r="E518" s="8" t="s">
        <v>3131</v>
      </c>
      <c r="F518" s="8" t="s">
        <v>3132</v>
      </c>
      <c r="G518" s="6" t="s">
        <v>95</v>
      </c>
      <c r="H518" s="6" t="s">
        <v>64</v>
      </c>
      <c r="I518" s="8" t="s">
        <v>39</v>
      </c>
      <c r="J518" s="9">
        <v>1</v>
      </c>
      <c r="K518" s="9">
        <v>357</v>
      </c>
      <c r="L518" s="9">
        <v>2022</v>
      </c>
      <c r="M518" s="8" t="s">
        <v>3133</v>
      </c>
      <c r="N518" s="8" t="s">
        <v>41</v>
      </c>
      <c r="O518" s="8" t="s">
        <v>85</v>
      </c>
      <c r="P518" s="6" t="s">
        <v>43</v>
      </c>
      <c r="Q518" s="8" t="s">
        <v>44</v>
      </c>
      <c r="R518" s="10" t="s">
        <v>373</v>
      </c>
      <c r="S518" s="11"/>
      <c r="T518" s="6"/>
      <c r="U518" s="28" t="str">
        <f>HYPERLINK("https://media.infra-m.ru/1817/1817947/cover/1817947.jpg", "Обложка")</f>
        <v>Обложка</v>
      </c>
      <c r="V518" s="28" t="str">
        <f>HYPERLINK("https://znanium.com/catalog/product/1817947", "Ознакомиться")</f>
        <v>Ознакомиться</v>
      </c>
      <c r="W518" s="8" t="s">
        <v>3134</v>
      </c>
      <c r="X518" s="6"/>
      <c r="Y518" s="6"/>
      <c r="Z518" s="6"/>
      <c r="AA518" s="6" t="s">
        <v>2349</v>
      </c>
    </row>
    <row r="519" spans="1:27" s="4" customFormat="1" ht="51.95" customHeight="1">
      <c r="A519" s="5">
        <v>0</v>
      </c>
      <c r="B519" s="6" t="s">
        <v>3135</v>
      </c>
      <c r="C519" s="7">
        <v>594.9</v>
      </c>
      <c r="D519" s="8" t="s">
        <v>3136</v>
      </c>
      <c r="E519" s="8" t="s">
        <v>3137</v>
      </c>
      <c r="F519" s="8" t="s">
        <v>3138</v>
      </c>
      <c r="G519" s="6" t="s">
        <v>95</v>
      </c>
      <c r="H519" s="6" t="s">
        <v>329</v>
      </c>
      <c r="I519" s="8" t="s">
        <v>185</v>
      </c>
      <c r="J519" s="9">
        <v>1</v>
      </c>
      <c r="K519" s="9">
        <v>176</v>
      </c>
      <c r="L519" s="9">
        <v>2020</v>
      </c>
      <c r="M519" s="8" t="s">
        <v>3139</v>
      </c>
      <c r="N519" s="8" t="s">
        <v>41</v>
      </c>
      <c r="O519" s="8" t="s">
        <v>97</v>
      </c>
      <c r="P519" s="6" t="s">
        <v>54</v>
      </c>
      <c r="Q519" s="8" t="s">
        <v>86</v>
      </c>
      <c r="R519" s="10" t="s">
        <v>227</v>
      </c>
      <c r="S519" s="11" t="s">
        <v>2275</v>
      </c>
      <c r="T519" s="6"/>
      <c r="U519" s="28" t="str">
        <f>HYPERLINK("https://media.infra-m.ru/1080/1080412/cover/1080412.jpg", "Обложка")</f>
        <v>Обложка</v>
      </c>
      <c r="V519" s="28" t="str">
        <f>HYPERLINK("https://znanium.com/catalog/product/920529", "Ознакомиться")</f>
        <v>Ознакомиться</v>
      </c>
      <c r="W519" s="8" t="s">
        <v>3140</v>
      </c>
      <c r="X519" s="6"/>
      <c r="Y519" s="6"/>
      <c r="Z519" s="6"/>
      <c r="AA519" s="6" t="s">
        <v>251</v>
      </c>
    </row>
    <row r="520" spans="1:27" s="4" customFormat="1" ht="42" customHeight="1">
      <c r="A520" s="5">
        <v>0</v>
      </c>
      <c r="B520" s="6" t="s">
        <v>3141</v>
      </c>
      <c r="C520" s="7">
        <v>764</v>
      </c>
      <c r="D520" s="8" t="s">
        <v>3142</v>
      </c>
      <c r="E520" s="8" t="s">
        <v>3143</v>
      </c>
      <c r="F520" s="8" t="s">
        <v>3144</v>
      </c>
      <c r="G520" s="6" t="s">
        <v>37</v>
      </c>
      <c r="H520" s="6" t="s">
        <v>64</v>
      </c>
      <c r="I520" s="8" t="s">
        <v>39</v>
      </c>
      <c r="J520" s="9">
        <v>1</v>
      </c>
      <c r="K520" s="9">
        <v>167</v>
      </c>
      <c r="L520" s="9">
        <v>2024</v>
      </c>
      <c r="M520" s="8" t="s">
        <v>3145</v>
      </c>
      <c r="N520" s="8" t="s">
        <v>41</v>
      </c>
      <c r="O520" s="8" t="s">
        <v>85</v>
      </c>
      <c r="P520" s="6" t="s">
        <v>43</v>
      </c>
      <c r="Q520" s="8" t="s">
        <v>44</v>
      </c>
      <c r="R520" s="10" t="s">
        <v>227</v>
      </c>
      <c r="S520" s="11"/>
      <c r="T520" s="6"/>
      <c r="U520" s="28" t="str">
        <f>HYPERLINK("https://media.infra-m.ru/2079/2079334/cover/2079334.jpg", "Обложка")</f>
        <v>Обложка</v>
      </c>
      <c r="V520" s="28" t="str">
        <f>HYPERLINK("https://znanium.com/catalog/product/1072301", "Ознакомиться")</f>
        <v>Ознакомиться</v>
      </c>
      <c r="W520" s="8" t="s">
        <v>1556</v>
      </c>
      <c r="X520" s="6"/>
      <c r="Y520" s="6"/>
      <c r="Z520" s="6"/>
      <c r="AA520" s="6" t="s">
        <v>610</v>
      </c>
    </row>
    <row r="521" spans="1:27" s="4" customFormat="1" ht="51.95" customHeight="1">
      <c r="A521" s="5">
        <v>0</v>
      </c>
      <c r="B521" s="6" t="s">
        <v>3146</v>
      </c>
      <c r="C521" s="13">
        <v>1334.9</v>
      </c>
      <c r="D521" s="8" t="s">
        <v>3147</v>
      </c>
      <c r="E521" s="8" t="s">
        <v>3148</v>
      </c>
      <c r="F521" s="8" t="s">
        <v>3149</v>
      </c>
      <c r="G521" s="6" t="s">
        <v>95</v>
      </c>
      <c r="H521" s="6" t="s">
        <v>64</v>
      </c>
      <c r="I521" s="8" t="s">
        <v>83</v>
      </c>
      <c r="J521" s="9">
        <v>1</v>
      </c>
      <c r="K521" s="9">
        <v>352</v>
      </c>
      <c r="L521" s="9">
        <v>2022</v>
      </c>
      <c r="M521" s="8" t="s">
        <v>3150</v>
      </c>
      <c r="N521" s="8" t="s">
        <v>41</v>
      </c>
      <c r="O521" s="8" t="s">
        <v>97</v>
      </c>
      <c r="P521" s="6" t="s">
        <v>67</v>
      </c>
      <c r="Q521" s="8" t="s">
        <v>86</v>
      </c>
      <c r="R521" s="10" t="s">
        <v>422</v>
      </c>
      <c r="S521" s="11" t="s">
        <v>3151</v>
      </c>
      <c r="T521" s="6"/>
      <c r="U521" s="28" t="str">
        <f>HYPERLINK("https://media.infra-m.ru/1844/1844281/cover/1844281.jpg", "Обложка")</f>
        <v>Обложка</v>
      </c>
      <c r="V521" s="28" t="str">
        <f>HYPERLINK("https://znanium.com/catalog/product/920550", "Ознакомиться")</f>
        <v>Ознакомиться</v>
      </c>
      <c r="W521" s="8" t="s">
        <v>3152</v>
      </c>
      <c r="X521" s="6"/>
      <c r="Y521" s="6"/>
      <c r="Z521" s="6"/>
      <c r="AA521" s="6" t="s">
        <v>47</v>
      </c>
    </row>
    <row r="522" spans="1:27" s="4" customFormat="1" ht="51.95" customHeight="1">
      <c r="A522" s="5">
        <v>0</v>
      </c>
      <c r="B522" s="6" t="s">
        <v>3153</v>
      </c>
      <c r="C522" s="7">
        <v>844.9</v>
      </c>
      <c r="D522" s="8" t="s">
        <v>3154</v>
      </c>
      <c r="E522" s="8" t="s">
        <v>3155</v>
      </c>
      <c r="F522" s="8" t="s">
        <v>3156</v>
      </c>
      <c r="G522" s="6" t="s">
        <v>37</v>
      </c>
      <c r="H522" s="6" t="s">
        <v>64</v>
      </c>
      <c r="I522" s="8" t="s">
        <v>65</v>
      </c>
      <c r="J522" s="9">
        <v>1</v>
      </c>
      <c r="K522" s="9">
        <v>188</v>
      </c>
      <c r="L522" s="9">
        <v>2024</v>
      </c>
      <c r="M522" s="8" t="s">
        <v>3157</v>
      </c>
      <c r="N522" s="8" t="s">
        <v>41</v>
      </c>
      <c r="O522" s="8" t="s">
        <v>85</v>
      </c>
      <c r="P522" s="6" t="s">
        <v>54</v>
      </c>
      <c r="Q522" s="8" t="s">
        <v>55</v>
      </c>
      <c r="R522" s="10" t="s">
        <v>2528</v>
      </c>
      <c r="S522" s="11" t="s">
        <v>3158</v>
      </c>
      <c r="T522" s="6"/>
      <c r="U522" s="28" t="str">
        <f>HYPERLINK("https://media.infra-m.ru/2044/2044318/cover/2044318.jpg", "Обложка")</f>
        <v>Обложка</v>
      </c>
      <c r="V522" s="28" t="str">
        <f>HYPERLINK("https://znanium.com/catalog/product/1844323", "Ознакомиться")</f>
        <v>Ознакомиться</v>
      </c>
      <c r="W522" s="8" t="s">
        <v>1537</v>
      </c>
      <c r="X522" s="6"/>
      <c r="Y522" s="6"/>
      <c r="Z522" s="6"/>
      <c r="AA522" s="6" t="s">
        <v>47</v>
      </c>
    </row>
    <row r="523" spans="1:27" s="4" customFormat="1" ht="51.95" customHeight="1">
      <c r="A523" s="5">
        <v>0</v>
      </c>
      <c r="B523" s="6" t="s">
        <v>3159</v>
      </c>
      <c r="C523" s="7">
        <v>864.9</v>
      </c>
      <c r="D523" s="8" t="s">
        <v>3160</v>
      </c>
      <c r="E523" s="8" t="s">
        <v>3161</v>
      </c>
      <c r="F523" s="8" t="s">
        <v>2538</v>
      </c>
      <c r="G523" s="6" t="s">
        <v>95</v>
      </c>
      <c r="H523" s="6" t="s">
        <v>64</v>
      </c>
      <c r="I523" s="8" t="s">
        <v>83</v>
      </c>
      <c r="J523" s="9">
        <v>1</v>
      </c>
      <c r="K523" s="9">
        <v>255</v>
      </c>
      <c r="L523" s="9">
        <v>2020</v>
      </c>
      <c r="M523" s="8" t="s">
        <v>3162</v>
      </c>
      <c r="N523" s="8" t="s">
        <v>41</v>
      </c>
      <c r="O523" s="8" t="s">
        <v>97</v>
      </c>
      <c r="P523" s="6" t="s">
        <v>54</v>
      </c>
      <c r="Q523" s="8" t="s">
        <v>86</v>
      </c>
      <c r="R523" s="10" t="s">
        <v>3163</v>
      </c>
      <c r="S523" s="11" t="s">
        <v>646</v>
      </c>
      <c r="T523" s="6"/>
      <c r="U523" s="28" t="str">
        <f>HYPERLINK("https://media.infra-m.ru/1045/1045817/cover/1045817.jpg", "Обложка")</f>
        <v>Обложка</v>
      </c>
      <c r="V523" s="28" t="str">
        <f>HYPERLINK("https://znanium.com/catalog/product/922719", "Ознакомиться")</f>
        <v>Ознакомиться</v>
      </c>
      <c r="W523" s="8" t="s">
        <v>1211</v>
      </c>
      <c r="X523" s="6"/>
      <c r="Y523" s="6"/>
      <c r="Z523" s="6"/>
      <c r="AA523" s="6" t="s">
        <v>206</v>
      </c>
    </row>
    <row r="524" spans="1:27" s="4" customFormat="1" ht="51.95" customHeight="1">
      <c r="A524" s="5">
        <v>0</v>
      </c>
      <c r="B524" s="6" t="s">
        <v>3164</v>
      </c>
      <c r="C524" s="13">
        <v>1644</v>
      </c>
      <c r="D524" s="8" t="s">
        <v>3165</v>
      </c>
      <c r="E524" s="8" t="s">
        <v>3166</v>
      </c>
      <c r="F524" s="8" t="s">
        <v>3167</v>
      </c>
      <c r="G524" s="6" t="s">
        <v>95</v>
      </c>
      <c r="H524" s="6" t="s">
        <v>64</v>
      </c>
      <c r="I524" s="8" t="s">
        <v>83</v>
      </c>
      <c r="J524" s="9">
        <v>1</v>
      </c>
      <c r="K524" s="9">
        <v>364</v>
      </c>
      <c r="L524" s="9">
        <v>2023</v>
      </c>
      <c r="M524" s="8" t="s">
        <v>3168</v>
      </c>
      <c r="N524" s="8" t="s">
        <v>41</v>
      </c>
      <c r="O524" s="8" t="s">
        <v>97</v>
      </c>
      <c r="P524" s="6" t="s">
        <v>67</v>
      </c>
      <c r="Q524" s="8" t="s">
        <v>86</v>
      </c>
      <c r="R524" s="10" t="s">
        <v>2826</v>
      </c>
      <c r="S524" s="11" t="s">
        <v>3169</v>
      </c>
      <c r="T524" s="6"/>
      <c r="U524" s="28" t="str">
        <f>HYPERLINK("https://media.infra-m.ru/1932/1932280/cover/1932280.jpg", "Обложка")</f>
        <v>Обложка</v>
      </c>
      <c r="V524" s="28" t="str">
        <f>HYPERLINK("https://znanium.com/catalog/product/988450", "Ознакомиться")</f>
        <v>Ознакомиться</v>
      </c>
      <c r="W524" s="8" t="s">
        <v>1543</v>
      </c>
      <c r="X524" s="6"/>
      <c r="Y524" s="6"/>
      <c r="Z524" s="6"/>
      <c r="AA524" s="6" t="s">
        <v>927</v>
      </c>
    </row>
    <row r="525" spans="1:27" s="4" customFormat="1" ht="51.95" customHeight="1">
      <c r="A525" s="5">
        <v>0</v>
      </c>
      <c r="B525" s="6" t="s">
        <v>3170</v>
      </c>
      <c r="C525" s="7">
        <v>990</v>
      </c>
      <c r="D525" s="8" t="s">
        <v>3171</v>
      </c>
      <c r="E525" s="8" t="s">
        <v>3172</v>
      </c>
      <c r="F525" s="8" t="s">
        <v>3173</v>
      </c>
      <c r="G525" s="6" t="s">
        <v>95</v>
      </c>
      <c r="H525" s="6" t="s">
        <v>125</v>
      </c>
      <c r="I525" s="8" t="s">
        <v>3174</v>
      </c>
      <c r="J525" s="9">
        <v>1</v>
      </c>
      <c r="K525" s="9">
        <v>236</v>
      </c>
      <c r="L525" s="9">
        <v>2022</v>
      </c>
      <c r="M525" s="8" t="s">
        <v>3175</v>
      </c>
      <c r="N525" s="8" t="s">
        <v>41</v>
      </c>
      <c r="O525" s="8" t="s">
        <v>85</v>
      </c>
      <c r="P525" s="6" t="s">
        <v>67</v>
      </c>
      <c r="Q525" s="8" t="s">
        <v>86</v>
      </c>
      <c r="R525" s="10" t="s">
        <v>1867</v>
      </c>
      <c r="S525" s="11" t="s">
        <v>3176</v>
      </c>
      <c r="T525" s="6"/>
      <c r="U525" s="28" t="str">
        <f>HYPERLINK("https://media.infra-m.ru/1864/1864973/cover/1864973.jpg", "Обложка")</f>
        <v>Обложка</v>
      </c>
      <c r="V525" s="28" t="str">
        <f>HYPERLINK("https://znanium.com/catalog/product/1876530", "Ознакомиться")</f>
        <v>Ознакомиться</v>
      </c>
      <c r="W525" s="8" t="s">
        <v>110</v>
      </c>
      <c r="X525" s="6"/>
      <c r="Y525" s="6"/>
      <c r="Z525" s="6"/>
      <c r="AA525" s="6" t="s">
        <v>78</v>
      </c>
    </row>
    <row r="526" spans="1:27" s="4" customFormat="1" ht="42" customHeight="1">
      <c r="A526" s="5">
        <v>0</v>
      </c>
      <c r="B526" s="6" t="s">
        <v>3177</v>
      </c>
      <c r="C526" s="7">
        <v>790</v>
      </c>
      <c r="D526" s="8" t="s">
        <v>3178</v>
      </c>
      <c r="E526" s="8" t="s">
        <v>3179</v>
      </c>
      <c r="F526" s="8" t="s">
        <v>3180</v>
      </c>
      <c r="G526" s="6" t="s">
        <v>63</v>
      </c>
      <c r="H526" s="6" t="s">
        <v>125</v>
      </c>
      <c r="I526" s="8"/>
      <c r="J526" s="9">
        <v>1</v>
      </c>
      <c r="K526" s="9">
        <v>154</v>
      </c>
      <c r="L526" s="9">
        <v>2024</v>
      </c>
      <c r="M526" s="8" t="s">
        <v>3181</v>
      </c>
      <c r="N526" s="8" t="s">
        <v>41</v>
      </c>
      <c r="O526" s="8" t="s">
        <v>97</v>
      </c>
      <c r="P526" s="6" t="s">
        <v>67</v>
      </c>
      <c r="Q526" s="8" t="s">
        <v>3182</v>
      </c>
      <c r="R526" s="10" t="s">
        <v>373</v>
      </c>
      <c r="S526" s="11"/>
      <c r="T526" s="6"/>
      <c r="U526" s="28" t="str">
        <f>HYPERLINK("https://media.infra-m.ru/2121/2121224/cover/2121224.jpg", "Обложка")</f>
        <v>Обложка</v>
      </c>
      <c r="V526" s="28" t="str">
        <f>HYPERLINK("https://znanium.com/catalog/product/2121224", "Ознакомиться")</f>
        <v>Ознакомиться</v>
      </c>
      <c r="W526" s="8" t="s">
        <v>110</v>
      </c>
      <c r="X526" s="6"/>
      <c r="Y526" s="6"/>
      <c r="Z526" s="6"/>
      <c r="AA526" s="6" t="s">
        <v>206</v>
      </c>
    </row>
    <row r="527" spans="1:27" s="4" customFormat="1" ht="42" customHeight="1">
      <c r="A527" s="5">
        <v>0</v>
      </c>
      <c r="B527" s="6" t="s">
        <v>3183</v>
      </c>
      <c r="C527" s="13">
        <v>1190</v>
      </c>
      <c r="D527" s="8" t="s">
        <v>3184</v>
      </c>
      <c r="E527" s="8" t="s">
        <v>3185</v>
      </c>
      <c r="F527" s="8" t="s">
        <v>3186</v>
      </c>
      <c r="G527" s="6" t="s">
        <v>37</v>
      </c>
      <c r="H527" s="6" t="s">
        <v>64</v>
      </c>
      <c r="I527" s="8" t="s">
        <v>1465</v>
      </c>
      <c r="J527" s="9">
        <v>1</v>
      </c>
      <c r="K527" s="9">
        <v>250</v>
      </c>
      <c r="L527" s="9">
        <v>2023</v>
      </c>
      <c r="M527" s="8" t="s">
        <v>3187</v>
      </c>
      <c r="N527" s="8" t="s">
        <v>41</v>
      </c>
      <c r="O527" s="8" t="s">
        <v>97</v>
      </c>
      <c r="P527" s="6" t="s">
        <v>43</v>
      </c>
      <c r="Q527" s="8" t="s">
        <v>44</v>
      </c>
      <c r="R527" s="10" t="s">
        <v>2197</v>
      </c>
      <c r="S527" s="11"/>
      <c r="T527" s="6"/>
      <c r="U527" s="28" t="str">
        <f>HYPERLINK("https://media.infra-m.ru/2070/2070058/cover/2070058.jpg", "Обложка")</f>
        <v>Обложка</v>
      </c>
      <c r="V527" s="28" t="str">
        <f>HYPERLINK("https://znanium.com/catalog/product/1911030", "Ознакомиться")</f>
        <v>Ознакомиться</v>
      </c>
      <c r="W527" s="8" t="s">
        <v>110</v>
      </c>
      <c r="X527" s="6"/>
      <c r="Y527" s="6"/>
      <c r="Z527" s="6"/>
      <c r="AA527" s="6" t="s">
        <v>112</v>
      </c>
    </row>
    <row r="528" spans="1:27" s="4" customFormat="1" ht="51.95" customHeight="1">
      <c r="A528" s="5">
        <v>0</v>
      </c>
      <c r="B528" s="6" t="s">
        <v>3188</v>
      </c>
      <c r="C528" s="7">
        <v>954</v>
      </c>
      <c r="D528" s="8" t="s">
        <v>3189</v>
      </c>
      <c r="E528" s="8" t="s">
        <v>3190</v>
      </c>
      <c r="F528" s="8" t="s">
        <v>3191</v>
      </c>
      <c r="G528" s="6" t="s">
        <v>95</v>
      </c>
      <c r="H528" s="6" t="s">
        <v>64</v>
      </c>
      <c r="I528" s="8" t="s">
        <v>83</v>
      </c>
      <c r="J528" s="9">
        <v>1</v>
      </c>
      <c r="K528" s="9">
        <v>207</v>
      </c>
      <c r="L528" s="9">
        <v>2024</v>
      </c>
      <c r="M528" s="8" t="s">
        <v>3192</v>
      </c>
      <c r="N528" s="8" t="s">
        <v>41</v>
      </c>
      <c r="O528" s="8" t="s">
        <v>97</v>
      </c>
      <c r="P528" s="6" t="s">
        <v>67</v>
      </c>
      <c r="Q528" s="8" t="s">
        <v>86</v>
      </c>
      <c r="R528" s="10" t="s">
        <v>422</v>
      </c>
      <c r="S528" s="11" t="s">
        <v>3193</v>
      </c>
      <c r="T528" s="6"/>
      <c r="U528" s="28" t="str">
        <f>HYPERLINK("https://media.infra-m.ru/2102/2102668/cover/2102668.jpg", "Обложка")</f>
        <v>Обложка</v>
      </c>
      <c r="V528" s="28" t="str">
        <f>HYPERLINK("https://znanium.com/catalog/product/1084310", "Ознакомиться")</f>
        <v>Ознакомиться</v>
      </c>
      <c r="W528" s="8" t="s">
        <v>2804</v>
      </c>
      <c r="X528" s="6"/>
      <c r="Y528" s="6"/>
      <c r="Z528" s="6"/>
      <c r="AA528" s="6" t="s">
        <v>47</v>
      </c>
    </row>
    <row r="529" spans="1:27" s="4" customFormat="1" ht="42" customHeight="1">
      <c r="A529" s="5">
        <v>0</v>
      </c>
      <c r="B529" s="6" t="s">
        <v>3194</v>
      </c>
      <c r="C529" s="7">
        <v>704.9</v>
      </c>
      <c r="D529" s="8" t="s">
        <v>3195</v>
      </c>
      <c r="E529" s="8" t="s">
        <v>3196</v>
      </c>
      <c r="F529" s="8" t="s">
        <v>3197</v>
      </c>
      <c r="G529" s="6" t="s">
        <v>37</v>
      </c>
      <c r="H529" s="6" t="s">
        <v>64</v>
      </c>
      <c r="I529" s="8" t="s">
        <v>39</v>
      </c>
      <c r="J529" s="9">
        <v>1</v>
      </c>
      <c r="K529" s="9">
        <v>156</v>
      </c>
      <c r="L529" s="9">
        <v>2023</v>
      </c>
      <c r="M529" s="8" t="s">
        <v>3198</v>
      </c>
      <c r="N529" s="8" t="s">
        <v>41</v>
      </c>
      <c r="O529" s="8" t="s">
        <v>97</v>
      </c>
      <c r="P529" s="6" t="s">
        <v>43</v>
      </c>
      <c r="Q529" s="8" t="s">
        <v>44</v>
      </c>
      <c r="R529" s="10" t="s">
        <v>142</v>
      </c>
      <c r="S529" s="11"/>
      <c r="T529" s="6"/>
      <c r="U529" s="28" t="str">
        <f>HYPERLINK("https://media.infra-m.ru/2045/2045815/cover/2045815.jpg", "Обложка")</f>
        <v>Обложка</v>
      </c>
      <c r="V529" s="28" t="str">
        <f>HYPERLINK("https://znanium.com/catalog/product/390880", "Ознакомиться")</f>
        <v>Ознакомиться</v>
      </c>
      <c r="W529" s="8" t="s">
        <v>324</v>
      </c>
      <c r="X529" s="6"/>
      <c r="Y529" s="6"/>
      <c r="Z529" s="6"/>
      <c r="AA529" s="6" t="s">
        <v>251</v>
      </c>
    </row>
    <row r="530" spans="1:27" s="4" customFormat="1" ht="51.95" customHeight="1">
      <c r="A530" s="5">
        <v>0</v>
      </c>
      <c r="B530" s="6" t="s">
        <v>3199</v>
      </c>
      <c r="C530" s="13">
        <v>1390</v>
      </c>
      <c r="D530" s="8" t="s">
        <v>3200</v>
      </c>
      <c r="E530" s="8" t="s">
        <v>3201</v>
      </c>
      <c r="F530" s="8" t="s">
        <v>3202</v>
      </c>
      <c r="G530" s="6" t="s">
        <v>63</v>
      </c>
      <c r="H530" s="6" t="s">
        <v>64</v>
      </c>
      <c r="I530" s="8" t="s">
        <v>65</v>
      </c>
      <c r="J530" s="9">
        <v>1</v>
      </c>
      <c r="K530" s="9">
        <v>303</v>
      </c>
      <c r="L530" s="9">
        <v>2024</v>
      </c>
      <c r="M530" s="8" t="s">
        <v>3203</v>
      </c>
      <c r="N530" s="8" t="s">
        <v>41</v>
      </c>
      <c r="O530" s="8" t="s">
        <v>97</v>
      </c>
      <c r="P530" s="6" t="s">
        <v>54</v>
      </c>
      <c r="Q530" s="8" t="s">
        <v>55</v>
      </c>
      <c r="R530" s="10" t="s">
        <v>118</v>
      </c>
      <c r="S530" s="11" t="s">
        <v>995</v>
      </c>
      <c r="T530" s="6"/>
      <c r="U530" s="28" t="str">
        <f>HYPERLINK("https://media.infra-m.ru/2104/2104843/cover/2104843.jpg", "Обложка")</f>
        <v>Обложка</v>
      </c>
      <c r="V530" s="28" t="str">
        <f>HYPERLINK("https://znanium.com/catalog/product/2104843", "Ознакомиться")</f>
        <v>Ознакомиться</v>
      </c>
      <c r="W530" s="8" t="s">
        <v>120</v>
      </c>
      <c r="X530" s="6"/>
      <c r="Y530" s="6"/>
      <c r="Z530" s="6"/>
      <c r="AA530" s="6" t="s">
        <v>469</v>
      </c>
    </row>
    <row r="531" spans="1:27" s="4" customFormat="1" ht="42" customHeight="1">
      <c r="A531" s="5">
        <v>0</v>
      </c>
      <c r="B531" s="6" t="s">
        <v>3204</v>
      </c>
      <c r="C531" s="7">
        <v>504.9</v>
      </c>
      <c r="D531" s="8" t="s">
        <v>3205</v>
      </c>
      <c r="E531" s="8" t="s">
        <v>3206</v>
      </c>
      <c r="F531" s="8" t="s">
        <v>3207</v>
      </c>
      <c r="G531" s="6" t="s">
        <v>37</v>
      </c>
      <c r="H531" s="6" t="s">
        <v>347</v>
      </c>
      <c r="I531" s="8"/>
      <c r="J531" s="9">
        <v>1</v>
      </c>
      <c r="K531" s="9">
        <v>112</v>
      </c>
      <c r="L531" s="9">
        <v>2023</v>
      </c>
      <c r="M531" s="8" t="s">
        <v>3208</v>
      </c>
      <c r="N531" s="8" t="s">
        <v>41</v>
      </c>
      <c r="O531" s="8" t="s">
        <v>97</v>
      </c>
      <c r="P531" s="6" t="s">
        <v>1433</v>
      </c>
      <c r="Q531" s="8" t="s">
        <v>86</v>
      </c>
      <c r="R531" s="10" t="s">
        <v>852</v>
      </c>
      <c r="S531" s="11"/>
      <c r="T531" s="6"/>
      <c r="U531" s="28" t="str">
        <f>HYPERLINK("https://media.infra-m.ru/1981/1981626/cover/1981626.jpg", "Обложка")</f>
        <v>Обложка</v>
      </c>
      <c r="V531" s="28" t="str">
        <f>HYPERLINK("https://znanium.com/catalog/product/960064", "Ознакомиться")</f>
        <v>Ознакомиться</v>
      </c>
      <c r="W531" s="8" t="s">
        <v>579</v>
      </c>
      <c r="X531" s="6"/>
      <c r="Y531" s="6"/>
      <c r="Z531" s="6"/>
      <c r="AA531" s="6" t="s">
        <v>90</v>
      </c>
    </row>
    <row r="532" spans="1:27" s="4" customFormat="1" ht="51.95" customHeight="1">
      <c r="A532" s="5">
        <v>0</v>
      </c>
      <c r="B532" s="6" t="s">
        <v>3209</v>
      </c>
      <c r="C532" s="7">
        <v>824.9</v>
      </c>
      <c r="D532" s="8" t="s">
        <v>3210</v>
      </c>
      <c r="E532" s="8" t="s">
        <v>3211</v>
      </c>
      <c r="F532" s="8" t="s">
        <v>3212</v>
      </c>
      <c r="G532" s="6" t="s">
        <v>95</v>
      </c>
      <c r="H532" s="6" t="s">
        <v>64</v>
      </c>
      <c r="I532" s="8" t="s">
        <v>39</v>
      </c>
      <c r="J532" s="9">
        <v>1</v>
      </c>
      <c r="K532" s="9">
        <v>236</v>
      </c>
      <c r="L532" s="9">
        <v>2020</v>
      </c>
      <c r="M532" s="8" t="s">
        <v>3213</v>
      </c>
      <c r="N532" s="8" t="s">
        <v>41</v>
      </c>
      <c r="O532" s="8" t="s">
        <v>97</v>
      </c>
      <c r="P532" s="6" t="s">
        <v>43</v>
      </c>
      <c r="Q532" s="8" t="s">
        <v>44</v>
      </c>
      <c r="R532" s="10" t="s">
        <v>3214</v>
      </c>
      <c r="S532" s="11"/>
      <c r="T532" s="6"/>
      <c r="U532" s="28" t="str">
        <f>HYPERLINK("https://media.infra-m.ru/1047/1047105/cover/1047105.jpg", "Обложка")</f>
        <v>Обложка</v>
      </c>
      <c r="V532" s="28" t="str">
        <f>HYPERLINK("https://znanium.com/catalog/product/947763", "Ознакомиться")</f>
        <v>Ознакомиться</v>
      </c>
      <c r="W532" s="8" t="s">
        <v>647</v>
      </c>
      <c r="X532" s="6"/>
      <c r="Y532" s="6"/>
      <c r="Z532" s="6"/>
      <c r="AA532" s="6" t="s">
        <v>206</v>
      </c>
    </row>
    <row r="533" spans="1:27" s="4" customFormat="1" ht="51.95" customHeight="1">
      <c r="A533" s="5">
        <v>0</v>
      </c>
      <c r="B533" s="6" t="s">
        <v>3215</v>
      </c>
      <c r="C533" s="7">
        <v>790</v>
      </c>
      <c r="D533" s="8" t="s">
        <v>3216</v>
      </c>
      <c r="E533" s="8" t="s">
        <v>3217</v>
      </c>
      <c r="F533" s="8" t="s">
        <v>1715</v>
      </c>
      <c r="G533" s="6" t="s">
        <v>37</v>
      </c>
      <c r="H533" s="6" t="s">
        <v>64</v>
      </c>
      <c r="I533" s="8" t="s">
        <v>39</v>
      </c>
      <c r="J533" s="9">
        <v>1</v>
      </c>
      <c r="K533" s="9">
        <v>199</v>
      </c>
      <c r="L533" s="9">
        <v>2021</v>
      </c>
      <c r="M533" s="8" t="s">
        <v>3218</v>
      </c>
      <c r="N533" s="8" t="s">
        <v>41</v>
      </c>
      <c r="O533" s="8" t="s">
        <v>97</v>
      </c>
      <c r="P533" s="6" t="s">
        <v>43</v>
      </c>
      <c r="Q533" s="8" t="s">
        <v>44</v>
      </c>
      <c r="R533" s="10" t="s">
        <v>3219</v>
      </c>
      <c r="S533" s="11"/>
      <c r="T533" s="6"/>
      <c r="U533" s="28" t="str">
        <f>HYPERLINK("https://media.infra-m.ru/1206/1206681/cover/1206681.jpg", "Обложка")</f>
        <v>Обложка</v>
      </c>
      <c r="V533" s="28" t="str">
        <f>HYPERLINK("https://znanium.com/catalog/product/1206681", "Ознакомиться")</f>
        <v>Ознакомиться</v>
      </c>
      <c r="W533" s="8" t="s">
        <v>1291</v>
      </c>
      <c r="X533" s="6"/>
      <c r="Y533" s="6"/>
      <c r="Z533" s="6"/>
      <c r="AA533" s="6" t="s">
        <v>58</v>
      </c>
    </row>
    <row r="534" spans="1:27" s="4" customFormat="1" ht="51.95" customHeight="1">
      <c r="A534" s="5">
        <v>0</v>
      </c>
      <c r="B534" s="6" t="s">
        <v>3220</v>
      </c>
      <c r="C534" s="13">
        <v>1084.9000000000001</v>
      </c>
      <c r="D534" s="8" t="s">
        <v>3221</v>
      </c>
      <c r="E534" s="8" t="s">
        <v>3222</v>
      </c>
      <c r="F534" s="8" t="s">
        <v>1202</v>
      </c>
      <c r="G534" s="6" t="s">
        <v>95</v>
      </c>
      <c r="H534" s="6" t="s">
        <v>64</v>
      </c>
      <c r="I534" s="8" t="s">
        <v>83</v>
      </c>
      <c r="J534" s="9">
        <v>1</v>
      </c>
      <c r="K534" s="9">
        <v>240</v>
      </c>
      <c r="L534" s="9">
        <v>2023</v>
      </c>
      <c r="M534" s="8" t="s">
        <v>3223</v>
      </c>
      <c r="N534" s="8" t="s">
        <v>41</v>
      </c>
      <c r="O534" s="8" t="s">
        <v>97</v>
      </c>
      <c r="P534" s="6" t="s">
        <v>54</v>
      </c>
      <c r="Q534" s="8" t="s">
        <v>86</v>
      </c>
      <c r="R534" s="10" t="s">
        <v>3224</v>
      </c>
      <c r="S534" s="11" t="s">
        <v>3225</v>
      </c>
      <c r="T534" s="6"/>
      <c r="U534" s="28" t="str">
        <f>HYPERLINK("https://media.infra-m.ru/1981/1981614/cover/1981614.jpg", "Обложка")</f>
        <v>Обложка</v>
      </c>
      <c r="V534" s="28" t="str">
        <f>HYPERLINK("https://znanium.com/catalog/product/1013470", "Ознакомиться")</f>
        <v>Ознакомиться</v>
      </c>
      <c r="W534" s="8" t="s">
        <v>159</v>
      </c>
      <c r="X534" s="6"/>
      <c r="Y534" s="6"/>
      <c r="Z534" s="6"/>
      <c r="AA534" s="6" t="s">
        <v>317</v>
      </c>
    </row>
    <row r="535" spans="1:27" s="4" customFormat="1" ht="51.95" customHeight="1">
      <c r="A535" s="5">
        <v>0</v>
      </c>
      <c r="B535" s="6" t="s">
        <v>3226</v>
      </c>
      <c r="C535" s="13">
        <v>1444</v>
      </c>
      <c r="D535" s="8" t="s">
        <v>3227</v>
      </c>
      <c r="E535" s="8" t="s">
        <v>3228</v>
      </c>
      <c r="F535" s="8" t="s">
        <v>3229</v>
      </c>
      <c r="G535" s="6" t="s">
        <v>95</v>
      </c>
      <c r="H535" s="6" t="s">
        <v>64</v>
      </c>
      <c r="I535" s="8" t="s">
        <v>83</v>
      </c>
      <c r="J535" s="9">
        <v>1</v>
      </c>
      <c r="K535" s="9">
        <v>320</v>
      </c>
      <c r="L535" s="9">
        <v>2024</v>
      </c>
      <c r="M535" s="8" t="s">
        <v>3230</v>
      </c>
      <c r="N535" s="8" t="s">
        <v>41</v>
      </c>
      <c r="O535" s="8" t="s">
        <v>97</v>
      </c>
      <c r="P535" s="6" t="s">
        <v>67</v>
      </c>
      <c r="Q535" s="8" t="s">
        <v>86</v>
      </c>
      <c r="R535" s="10" t="s">
        <v>2258</v>
      </c>
      <c r="S535" s="11" t="s">
        <v>3231</v>
      </c>
      <c r="T535" s="6"/>
      <c r="U535" s="28" t="str">
        <f>HYPERLINK("https://media.infra-m.ru/1913/1913215/cover/1913215.jpg", "Обложка")</f>
        <v>Обложка</v>
      </c>
      <c r="V535" s="28" t="str">
        <f>HYPERLINK("https://znanium.com/catalog/product/959961", "Ознакомиться")</f>
        <v>Ознакомиться</v>
      </c>
      <c r="W535" s="8" t="s">
        <v>120</v>
      </c>
      <c r="X535" s="6"/>
      <c r="Y535" s="6"/>
      <c r="Z535" s="6"/>
      <c r="AA535" s="6" t="s">
        <v>47</v>
      </c>
    </row>
    <row r="536" spans="1:27" s="4" customFormat="1" ht="42" customHeight="1">
      <c r="A536" s="5">
        <v>0</v>
      </c>
      <c r="B536" s="6" t="s">
        <v>3232</v>
      </c>
      <c r="C536" s="7">
        <v>814</v>
      </c>
      <c r="D536" s="8" t="s">
        <v>3233</v>
      </c>
      <c r="E536" s="8" t="s">
        <v>3234</v>
      </c>
      <c r="F536" s="8" t="s">
        <v>3235</v>
      </c>
      <c r="G536" s="6" t="s">
        <v>95</v>
      </c>
      <c r="H536" s="6" t="s">
        <v>125</v>
      </c>
      <c r="I536" s="8" t="s">
        <v>1989</v>
      </c>
      <c r="J536" s="9">
        <v>1</v>
      </c>
      <c r="K536" s="9">
        <v>176</v>
      </c>
      <c r="L536" s="9">
        <v>2024</v>
      </c>
      <c r="M536" s="8" t="s">
        <v>3236</v>
      </c>
      <c r="N536" s="8" t="s">
        <v>41</v>
      </c>
      <c r="O536" s="8" t="s">
        <v>97</v>
      </c>
      <c r="P536" s="6" t="s">
        <v>54</v>
      </c>
      <c r="Q536" s="8" t="s">
        <v>55</v>
      </c>
      <c r="R536" s="10" t="s">
        <v>3237</v>
      </c>
      <c r="S536" s="11"/>
      <c r="T536" s="6"/>
      <c r="U536" s="28" t="str">
        <f>HYPERLINK("https://media.infra-m.ru/2094/2094520/cover/2094520.jpg", "Обложка")</f>
        <v>Обложка</v>
      </c>
      <c r="V536" s="28" t="str">
        <f>HYPERLINK("https://znanium.com/catalog/product/1007947", "Ознакомиться")</f>
        <v>Ознакомиться</v>
      </c>
      <c r="W536" s="8" t="s">
        <v>110</v>
      </c>
      <c r="X536" s="6"/>
      <c r="Y536" s="6"/>
      <c r="Z536" s="6"/>
      <c r="AA536" s="6" t="s">
        <v>90</v>
      </c>
    </row>
    <row r="537" spans="1:27" s="4" customFormat="1" ht="51.95" customHeight="1">
      <c r="A537" s="5">
        <v>0</v>
      </c>
      <c r="B537" s="6" t="s">
        <v>3238</v>
      </c>
      <c r="C537" s="7">
        <v>970</v>
      </c>
      <c r="D537" s="8" t="s">
        <v>3239</v>
      </c>
      <c r="E537" s="8" t="s">
        <v>3240</v>
      </c>
      <c r="F537" s="8" t="s">
        <v>3241</v>
      </c>
      <c r="G537" s="6" t="s">
        <v>63</v>
      </c>
      <c r="H537" s="6" t="s">
        <v>64</v>
      </c>
      <c r="I537" s="8" t="s">
        <v>83</v>
      </c>
      <c r="J537" s="9">
        <v>1</v>
      </c>
      <c r="K537" s="9">
        <v>254</v>
      </c>
      <c r="L537" s="9">
        <v>2022</v>
      </c>
      <c r="M537" s="8" t="s">
        <v>3242</v>
      </c>
      <c r="N537" s="8" t="s">
        <v>41</v>
      </c>
      <c r="O537" s="8" t="s">
        <v>97</v>
      </c>
      <c r="P537" s="6" t="s">
        <v>54</v>
      </c>
      <c r="Q537" s="8" t="s">
        <v>86</v>
      </c>
      <c r="R537" s="10" t="s">
        <v>653</v>
      </c>
      <c r="S537" s="11" t="s">
        <v>1794</v>
      </c>
      <c r="T537" s="6"/>
      <c r="U537" s="28" t="str">
        <f>HYPERLINK("https://media.infra-m.ru/1836/1836721/cover/1836721.jpg", "Обложка")</f>
        <v>Обложка</v>
      </c>
      <c r="V537" s="28" t="str">
        <f>HYPERLINK("https://znanium.com/catalog/product/1836721", "Ознакомиться")</f>
        <v>Ознакомиться</v>
      </c>
      <c r="W537" s="8" t="s">
        <v>557</v>
      </c>
      <c r="X537" s="6"/>
      <c r="Y537" s="6"/>
      <c r="Z537" s="6"/>
      <c r="AA537" s="6" t="s">
        <v>71</v>
      </c>
    </row>
    <row r="538" spans="1:27" s="4" customFormat="1" ht="51.95" customHeight="1">
      <c r="A538" s="5">
        <v>0</v>
      </c>
      <c r="B538" s="6" t="s">
        <v>3243</v>
      </c>
      <c r="C538" s="13">
        <v>1140</v>
      </c>
      <c r="D538" s="8" t="s">
        <v>3244</v>
      </c>
      <c r="E538" s="8" t="s">
        <v>3240</v>
      </c>
      <c r="F538" s="8" t="s">
        <v>3241</v>
      </c>
      <c r="G538" s="6" t="s">
        <v>63</v>
      </c>
      <c r="H538" s="6" t="s">
        <v>64</v>
      </c>
      <c r="I538" s="8" t="s">
        <v>192</v>
      </c>
      <c r="J538" s="9">
        <v>1</v>
      </c>
      <c r="K538" s="9">
        <v>254</v>
      </c>
      <c r="L538" s="9">
        <v>2023</v>
      </c>
      <c r="M538" s="8" t="s">
        <v>3245</v>
      </c>
      <c r="N538" s="8" t="s">
        <v>41</v>
      </c>
      <c r="O538" s="8" t="s">
        <v>97</v>
      </c>
      <c r="P538" s="6" t="s">
        <v>54</v>
      </c>
      <c r="Q538" s="8" t="s">
        <v>194</v>
      </c>
      <c r="R538" s="10" t="s">
        <v>195</v>
      </c>
      <c r="S538" s="11" t="s">
        <v>3246</v>
      </c>
      <c r="T538" s="6"/>
      <c r="U538" s="28" t="str">
        <f>HYPERLINK("https://media.infra-m.ru/1920/1920309/cover/1920309.jpg", "Обложка")</f>
        <v>Обложка</v>
      </c>
      <c r="V538" s="28" t="str">
        <f>HYPERLINK("https://znanium.com/catalog/product/1920309", "Ознакомиться")</f>
        <v>Ознакомиться</v>
      </c>
      <c r="W538" s="8" t="s">
        <v>557</v>
      </c>
      <c r="X538" s="6"/>
      <c r="Y538" s="6"/>
      <c r="Z538" s="6" t="s">
        <v>197</v>
      </c>
      <c r="AA538" s="6" t="s">
        <v>166</v>
      </c>
    </row>
    <row r="539" spans="1:27" s="4" customFormat="1" ht="51.95" customHeight="1">
      <c r="A539" s="5">
        <v>0</v>
      </c>
      <c r="B539" s="6" t="s">
        <v>3247</v>
      </c>
      <c r="C539" s="13">
        <v>1750</v>
      </c>
      <c r="D539" s="8" t="s">
        <v>3248</v>
      </c>
      <c r="E539" s="8" t="s">
        <v>3249</v>
      </c>
      <c r="F539" s="8" t="s">
        <v>3250</v>
      </c>
      <c r="G539" s="6" t="s">
        <v>63</v>
      </c>
      <c r="H539" s="6" t="s">
        <v>64</v>
      </c>
      <c r="I539" s="8" t="s">
        <v>65</v>
      </c>
      <c r="J539" s="9">
        <v>1</v>
      </c>
      <c r="K539" s="9">
        <v>377</v>
      </c>
      <c r="L539" s="9">
        <v>2023</v>
      </c>
      <c r="M539" s="8" t="s">
        <v>3251</v>
      </c>
      <c r="N539" s="8" t="s">
        <v>41</v>
      </c>
      <c r="O539" s="8" t="s">
        <v>97</v>
      </c>
      <c r="P539" s="6" t="s">
        <v>54</v>
      </c>
      <c r="Q539" s="8" t="s">
        <v>55</v>
      </c>
      <c r="R539" s="10" t="s">
        <v>3252</v>
      </c>
      <c r="S539" s="11" t="s">
        <v>3253</v>
      </c>
      <c r="T539" s="6"/>
      <c r="U539" s="28" t="str">
        <f>HYPERLINK("https://media.infra-m.ru/2038/2038325/cover/2038325.jpg", "Обложка")</f>
        <v>Обложка</v>
      </c>
      <c r="V539" s="28" t="str">
        <f>HYPERLINK("https://znanium.com/catalog/product/2038325", "Ознакомиться")</f>
        <v>Ознакомиться</v>
      </c>
      <c r="W539" s="8" t="s">
        <v>3254</v>
      </c>
      <c r="X539" s="6"/>
      <c r="Y539" s="6"/>
      <c r="Z539" s="6"/>
      <c r="AA539" s="6" t="s">
        <v>441</v>
      </c>
    </row>
    <row r="540" spans="1:27" s="4" customFormat="1" ht="42" customHeight="1">
      <c r="A540" s="5">
        <v>0</v>
      </c>
      <c r="B540" s="6" t="s">
        <v>3255</v>
      </c>
      <c r="C540" s="7">
        <v>534.9</v>
      </c>
      <c r="D540" s="8" t="s">
        <v>3256</v>
      </c>
      <c r="E540" s="8" t="s">
        <v>3257</v>
      </c>
      <c r="F540" s="8" t="s">
        <v>3258</v>
      </c>
      <c r="G540" s="6" t="s">
        <v>37</v>
      </c>
      <c r="H540" s="6" t="s">
        <v>64</v>
      </c>
      <c r="I540" s="8" t="s">
        <v>39</v>
      </c>
      <c r="J540" s="9">
        <v>1</v>
      </c>
      <c r="K540" s="9">
        <v>136</v>
      </c>
      <c r="L540" s="9">
        <v>2022</v>
      </c>
      <c r="M540" s="8" t="s">
        <v>3259</v>
      </c>
      <c r="N540" s="8" t="s">
        <v>41</v>
      </c>
      <c r="O540" s="8" t="s">
        <v>97</v>
      </c>
      <c r="P540" s="6" t="s">
        <v>43</v>
      </c>
      <c r="Q540" s="8" t="s">
        <v>44</v>
      </c>
      <c r="R540" s="10" t="s">
        <v>2769</v>
      </c>
      <c r="S540" s="11"/>
      <c r="T540" s="6"/>
      <c r="U540" s="28" t="str">
        <f>HYPERLINK("https://media.infra-m.ru/1853/1853537/cover/1853537.jpg", "Обложка")</f>
        <v>Обложка</v>
      </c>
      <c r="V540" s="28" t="str">
        <f>HYPERLINK("https://znanium.com/catalog/product/1009724", "Ознакомиться")</f>
        <v>Ознакомиться</v>
      </c>
      <c r="W540" s="8" t="s">
        <v>647</v>
      </c>
      <c r="X540" s="6"/>
      <c r="Y540" s="6"/>
      <c r="Z540" s="6"/>
      <c r="AA540" s="6" t="s">
        <v>317</v>
      </c>
    </row>
    <row r="541" spans="1:27" s="4" customFormat="1" ht="51.95" customHeight="1">
      <c r="A541" s="5">
        <v>0</v>
      </c>
      <c r="B541" s="6" t="s">
        <v>3260</v>
      </c>
      <c r="C541" s="7">
        <v>390</v>
      </c>
      <c r="D541" s="8" t="s">
        <v>3261</v>
      </c>
      <c r="E541" s="8" t="s">
        <v>3262</v>
      </c>
      <c r="F541" s="8" t="s">
        <v>3263</v>
      </c>
      <c r="G541" s="6" t="s">
        <v>37</v>
      </c>
      <c r="H541" s="6" t="s">
        <v>64</v>
      </c>
      <c r="I541" s="8" t="s">
        <v>39</v>
      </c>
      <c r="J541" s="9">
        <v>1</v>
      </c>
      <c r="K541" s="9">
        <v>118</v>
      </c>
      <c r="L541" s="9">
        <v>2018</v>
      </c>
      <c r="M541" s="8" t="s">
        <v>3264</v>
      </c>
      <c r="N541" s="8" t="s">
        <v>41</v>
      </c>
      <c r="O541" s="8" t="s">
        <v>97</v>
      </c>
      <c r="P541" s="6" t="s">
        <v>43</v>
      </c>
      <c r="Q541" s="8" t="s">
        <v>44</v>
      </c>
      <c r="R541" s="10" t="s">
        <v>2970</v>
      </c>
      <c r="S541" s="11"/>
      <c r="T541" s="6"/>
      <c r="U541" s="28" t="str">
        <f>HYPERLINK("https://media.infra-m.ru/0959/0959880/cover/959880.jpg", "Обложка")</f>
        <v>Обложка</v>
      </c>
      <c r="V541" s="28" t="str">
        <f>HYPERLINK("https://znanium.com/catalog/product/959880", "Ознакомиться")</f>
        <v>Ознакомиться</v>
      </c>
      <c r="W541" s="8" t="s">
        <v>3265</v>
      </c>
      <c r="X541" s="6"/>
      <c r="Y541" s="6"/>
      <c r="Z541" s="6"/>
      <c r="AA541" s="6" t="s">
        <v>78</v>
      </c>
    </row>
    <row r="542" spans="1:27" s="4" customFormat="1" ht="51.95" customHeight="1">
      <c r="A542" s="5">
        <v>0</v>
      </c>
      <c r="B542" s="6" t="s">
        <v>3266</v>
      </c>
      <c r="C542" s="13">
        <v>1564.9</v>
      </c>
      <c r="D542" s="8" t="s">
        <v>3267</v>
      </c>
      <c r="E542" s="8" t="s">
        <v>3268</v>
      </c>
      <c r="F542" s="8" t="s">
        <v>3269</v>
      </c>
      <c r="G542" s="6" t="s">
        <v>95</v>
      </c>
      <c r="H542" s="6" t="s">
        <v>125</v>
      </c>
      <c r="I542" s="8"/>
      <c r="J542" s="9">
        <v>1</v>
      </c>
      <c r="K542" s="9">
        <v>348</v>
      </c>
      <c r="L542" s="9">
        <v>2023</v>
      </c>
      <c r="M542" s="8" t="s">
        <v>3270</v>
      </c>
      <c r="N542" s="8" t="s">
        <v>41</v>
      </c>
      <c r="O542" s="8" t="s">
        <v>97</v>
      </c>
      <c r="P542" s="6" t="s">
        <v>54</v>
      </c>
      <c r="Q542" s="8" t="s">
        <v>86</v>
      </c>
      <c r="R542" s="10" t="s">
        <v>227</v>
      </c>
      <c r="S542" s="11" t="s">
        <v>3271</v>
      </c>
      <c r="T542" s="6"/>
      <c r="U542" s="28" t="str">
        <f>HYPERLINK("https://media.infra-m.ru/1914/1914552/cover/1914552.jpg", "Обложка")</f>
        <v>Обложка</v>
      </c>
      <c r="V542" s="28" t="str">
        <f>HYPERLINK("https://znanium.com/catalog/product/1215824", "Ознакомиться")</f>
        <v>Ознакомиться</v>
      </c>
      <c r="W542" s="8" t="s">
        <v>110</v>
      </c>
      <c r="X542" s="6"/>
      <c r="Y542" s="6"/>
      <c r="Z542" s="6"/>
      <c r="AA542" s="6" t="s">
        <v>307</v>
      </c>
    </row>
    <row r="543" spans="1:27" s="4" customFormat="1" ht="42" customHeight="1">
      <c r="A543" s="5">
        <v>0</v>
      </c>
      <c r="B543" s="6" t="s">
        <v>3272</v>
      </c>
      <c r="C543" s="7">
        <v>584.9</v>
      </c>
      <c r="D543" s="8" t="s">
        <v>3273</v>
      </c>
      <c r="E543" s="8" t="s">
        <v>3274</v>
      </c>
      <c r="F543" s="8" t="s">
        <v>3275</v>
      </c>
      <c r="G543" s="6" t="s">
        <v>37</v>
      </c>
      <c r="H543" s="6" t="s">
        <v>38</v>
      </c>
      <c r="I543" s="8"/>
      <c r="J543" s="9">
        <v>1</v>
      </c>
      <c r="K543" s="9">
        <v>172</v>
      </c>
      <c r="L543" s="9">
        <v>2020</v>
      </c>
      <c r="M543" s="8" t="s">
        <v>3276</v>
      </c>
      <c r="N543" s="8" t="s">
        <v>41</v>
      </c>
      <c r="O543" s="8" t="s">
        <v>97</v>
      </c>
      <c r="P543" s="6" t="s">
        <v>67</v>
      </c>
      <c r="Q543" s="8" t="s">
        <v>86</v>
      </c>
      <c r="R543" s="10" t="s">
        <v>555</v>
      </c>
      <c r="S543" s="11"/>
      <c r="T543" s="6"/>
      <c r="U543" s="28" t="str">
        <f>HYPERLINK("https://media.infra-m.ru/1044/1044580/cover/1044580.jpg", "Обложка")</f>
        <v>Обложка</v>
      </c>
      <c r="V543" s="28" t="str">
        <f>HYPERLINK("https://znanium.com/catalog/product/947682", "Ознакомиться")</f>
        <v>Ознакомиться</v>
      </c>
      <c r="W543" s="8" t="s">
        <v>3277</v>
      </c>
      <c r="X543" s="6"/>
      <c r="Y543" s="6"/>
      <c r="Z543" s="6"/>
      <c r="AA543" s="6" t="s">
        <v>71</v>
      </c>
    </row>
    <row r="544" spans="1:27" s="4" customFormat="1" ht="51.95" customHeight="1">
      <c r="A544" s="5">
        <v>0</v>
      </c>
      <c r="B544" s="6" t="s">
        <v>3278</v>
      </c>
      <c r="C544" s="7">
        <v>794.9</v>
      </c>
      <c r="D544" s="8" t="s">
        <v>3279</v>
      </c>
      <c r="E544" s="8" t="s">
        <v>3280</v>
      </c>
      <c r="F544" s="8" t="s">
        <v>3281</v>
      </c>
      <c r="G544" s="6" t="s">
        <v>95</v>
      </c>
      <c r="H544" s="6" t="s">
        <v>125</v>
      </c>
      <c r="I544" s="8"/>
      <c r="J544" s="9">
        <v>1</v>
      </c>
      <c r="K544" s="9">
        <v>208</v>
      </c>
      <c r="L544" s="9">
        <v>2022</v>
      </c>
      <c r="M544" s="8" t="s">
        <v>3282</v>
      </c>
      <c r="N544" s="8" t="s">
        <v>41</v>
      </c>
      <c r="O544" s="8" t="s">
        <v>97</v>
      </c>
      <c r="P544" s="6" t="s">
        <v>54</v>
      </c>
      <c r="Q544" s="8" t="s">
        <v>86</v>
      </c>
      <c r="R544" s="10" t="s">
        <v>373</v>
      </c>
      <c r="S544" s="11" t="s">
        <v>151</v>
      </c>
      <c r="T544" s="6"/>
      <c r="U544" s="28" t="str">
        <f>HYPERLINK("https://media.infra-m.ru/1856/1856725/cover/1856725.jpg", "Обложка")</f>
        <v>Обложка</v>
      </c>
      <c r="V544" s="28" t="str">
        <f>HYPERLINK("https://znanium.com/catalog/product/929653", "Ознакомиться")</f>
        <v>Ознакомиться</v>
      </c>
      <c r="W544" s="8" t="s">
        <v>3283</v>
      </c>
      <c r="X544" s="6"/>
      <c r="Y544" s="6"/>
      <c r="Z544" s="6"/>
      <c r="AA544" s="6" t="s">
        <v>469</v>
      </c>
    </row>
    <row r="545" spans="1:27" s="4" customFormat="1" ht="51.95" customHeight="1">
      <c r="A545" s="5">
        <v>0</v>
      </c>
      <c r="B545" s="6" t="s">
        <v>3284</v>
      </c>
      <c r="C545" s="13">
        <v>1364</v>
      </c>
      <c r="D545" s="8" t="s">
        <v>3285</v>
      </c>
      <c r="E545" s="8" t="s">
        <v>3286</v>
      </c>
      <c r="F545" s="8" t="s">
        <v>3287</v>
      </c>
      <c r="G545" s="6" t="s">
        <v>95</v>
      </c>
      <c r="H545" s="6" t="s">
        <v>125</v>
      </c>
      <c r="I545" s="8"/>
      <c r="J545" s="9">
        <v>1</v>
      </c>
      <c r="K545" s="9">
        <v>302</v>
      </c>
      <c r="L545" s="9">
        <v>2023</v>
      </c>
      <c r="M545" s="8" t="s">
        <v>3288</v>
      </c>
      <c r="N545" s="8" t="s">
        <v>41</v>
      </c>
      <c r="O545" s="8" t="s">
        <v>97</v>
      </c>
      <c r="P545" s="6" t="s">
        <v>54</v>
      </c>
      <c r="Q545" s="8" t="s">
        <v>86</v>
      </c>
      <c r="R545" s="10" t="s">
        <v>3289</v>
      </c>
      <c r="S545" s="11"/>
      <c r="T545" s="6"/>
      <c r="U545" s="28" t="str">
        <f>HYPERLINK("https://media.infra-m.ru/2044/2044354/cover/2044354.jpg", "Обложка")</f>
        <v>Обложка</v>
      </c>
      <c r="V545" s="28" t="str">
        <f>HYPERLINK("https://znanium.com/catalog/product/1429045", "Ознакомиться")</f>
        <v>Ознакомиться</v>
      </c>
      <c r="W545" s="8" t="s">
        <v>892</v>
      </c>
      <c r="X545" s="6"/>
      <c r="Y545" s="6"/>
      <c r="Z545" s="6"/>
      <c r="AA545" s="6" t="s">
        <v>251</v>
      </c>
    </row>
    <row r="546" spans="1:27" s="4" customFormat="1" ht="51.95" customHeight="1">
      <c r="A546" s="5">
        <v>0</v>
      </c>
      <c r="B546" s="6" t="s">
        <v>3290</v>
      </c>
      <c r="C546" s="13">
        <v>1650</v>
      </c>
      <c r="D546" s="8" t="s">
        <v>3291</v>
      </c>
      <c r="E546" s="8" t="s">
        <v>3292</v>
      </c>
      <c r="F546" s="8" t="s">
        <v>3293</v>
      </c>
      <c r="G546" s="6" t="s">
        <v>63</v>
      </c>
      <c r="H546" s="6" t="s">
        <v>64</v>
      </c>
      <c r="I546" s="8" t="s">
        <v>83</v>
      </c>
      <c r="J546" s="9">
        <v>1</v>
      </c>
      <c r="K546" s="9">
        <v>365</v>
      </c>
      <c r="L546" s="9">
        <v>2023</v>
      </c>
      <c r="M546" s="8" t="s">
        <v>3294</v>
      </c>
      <c r="N546" s="8" t="s">
        <v>41</v>
      </c>
      <c r="O546" s="8" t="s">
        <v>97</v>
      </c>
      <c r="P546" s="6" t="s">
        <v>54</v>
      </c>
      <c r="Q546" s="8" t="s">
        <v>86</v>
      </c>
      <c r="R546" s="10" t="s">
        <v>422</v>
      </c>
      <c r="S546" s="11" t="s">
        <v>88</v>
      </c>
      <c r="T546" s="6" t="s">
        <v>144</v>
      </c>
      <c r="U546" s="28" t="str">
        <f>HYPERLINK("https://media.infra-m.ru/1913/1913242/cover/1913242.jpg", "Обложка")</f>
        <v>Обложка</v>
      </c>
      <c r="V546" s="28" t="str">
        <f>HYPERLINK("https://znanium.com/catalog/product/1913242", "Ознакомиться")</f>
        <v>Ознакомиться</v>
      </c>
      <c r="W546" s="8"/>
      <c r="X546" s="6"/>
      <c r="Y546" s="6"/>
      <c r="Z546" s="6"/>
      <c r="AA546" s="6" t="s">
        <v>244</v>
      </c>
    </row>
    <row r="547" spans="1:27" s="4" customFormat="1" ht="51.95" customHeight="1">
      <c r="A547" s="5">
        <v>0</v>
      </c>
      <c r="B547" s="6" t="s">
        <v>3295</v>
      </c>
      <c r="C547" s="7">
        <v>754.9</v>
      </c>
      <c r="D547" s="8" t="s">
        <v>3296</v>
      </c>
      <c r="E547" s="8" t="s">
        <v>3297</v>
      </c>
      <c r="F547" s="8" t="s">
        <v>3293</v>
      </c>
      <c r="G547" s="6" t="s">
        <v>95</v>
      </c>
      <c r="H547" s="6" t="s">
        <v>64</v>
      </c>
      <c r="I547" s="8" t="s">
        <v>83</v>
      </c>
      <c r="J547" s="9">
        <v>20</v>
      </c>
      <c r="K547" s="9">
        <v>345</v>
      </c>
      <c r="L547" s="9">
        <v>2016</v>
      </c>
      <c r="M547" s="8" t="s">
        <v>3298</v>
      </c>
      <c r="N547" s="8" t="s">
        <v>41</v>
      </c>
      <c r="O547" s="8" t="s">
        <v>97</v>
      </c>
      <c r="P547" s="6" t="s">
        <v>54</v>
      </c>
      <c r="Q547" s="8" t="s">
        <v>86</v>
      </c>
      <c r="R547" s="10" t="s">
        <v>422</v>
      </c>
      <c r="S547" s="11" t="s">
        <v>88</v>
      </c>
      <c r="T547" s="6"/>
      <c r="U547" s="28" t="str">
        <f>HYPERLINK("https://media.infra-m.ru/0566/0566280/cover/566280.jpg", "Обложка")</f>
        <v>Обложка</v>
      </c>
      <c r="V547" s="28" t="str">
        <f>HYPERLINK("https://znanium.com/catalog/product/1913242", "Ознакомиться")</f>
        <v>Ознакомиться</v>
      </c>
      <c r="W547" s="8"/>
      <c r="X547" s="6"/>
      <c r="Y547" s="6"/>
      <c r="Z547" s="6"/>
      <c r="AA547" s="6" t="s">
        <v>90</v>
      </c>
    </row>
    <row r="548" spans="1:27" s="4" customFormat="1" ht="51.95" customHeight="1">
      <c r="A548" s="5">
        <v>0</v>
      </c>
      <c r="B548" s="6" t="s">
        <v>3299</v>
      </c>
      <c r="C548" s="13">
        <v>1420</v>
      </c>
      <c r="D548" s="8" t="s">
        <v>3300</v>
      </c>
      <c r="E548" s="8" t="s">
        <v>3301</v>
      </c>
      <c r="F548" s="8" t="s">
        <v>3302</v>
      </c>
      <c r="G548" s="6" t="s">
        <v>63</v>
      </c>
      <c r="H548" s="6" t="s">
        <v>64</v>
      </c>
      <c r="I548" s="8" t="s">
        <v>83</v>
      </c>
      <c r="J548" s="9">
        <v>1</v>
      </c>
      <c r="K548" s="9">
        <v>308</v>
      </c>
      <c r="L548" s="9">
        <v>2023</v>
      </c>
      <c r="M548" s="8" t="s">
        <v>3303</v>
      </c>
      <c r="N548" s="8" t="s">
        <v>41</v>
      </c>
      <c r="O548" s="8" t="s">
        <v>97</v>
      </c>
      <c r="P548" s="6" t="s">
        <v>54</v>
      </c>
      <c r="Q548" s="8" t="s">
        <v>86</v>
      </c>
      <c r="R548" s="10" t="s">
        <v>1408</v>
      </c>
      <c r="S548" s="11" t="s">
        <v>3304</v>
      </c>
      <c r="T548" s="6"/>
      <c r="U548" s="28" t="str">
        <f>HYPERLINK("https://media.infra-m.ru/1981/1981608/cover/1981608.jpg", "Обложка")</f>
        <v>Обложка</v>
      </c>
      <c r="V548" s="28" t="str">
        <f>HYPERLINK("https://znanium.com/catalog/product/1981608", "Ознакомиться")</f>
        <v>Ознакомиться</v>
      </c>
      <c r="W548" s="8" t="s">
        <v>2804</v>
      </c>
      <c r="X548" s="6"/>
      <c r="Y548" s="6"/>
      <c r="Z548" s="6"/>
      <c r="AA548" s="6" t="s">
        <v>244</v>
      </c>
    </row>
    <row r="549" spans="1:27" s="4" customFormat="1" ht="51.95" customHeight="1">
      <c r="A549" s="5">
        <v>0</v>
      </c>
      <c r="B549" s="6" t="s">
        <v>3305</v>
      </c>
      <c r="C549" s="7">
        <v>934.9</v>
      </c>
      <c r="D549" s="8" t="s">
        <v>3306</v>
      </c>
      <c r="E549" s="8" t="s">
        <v>3307</v>
      </c>
      <c r="F549" s="8" t="s">
        <v>3302</v>
      </c>
      <c r="G549" s="6" t="s">
        <v>95</v>
      </c>
      <c r="H549" s="6" t="s">
        <v>64</v>
      </c>
      <c r="I549" s="8" t="s">
        <v>83</v>
      </c>
      <c r="J549" s="9">
        <v>1</v>
      </c>
      <c r="K549" s="9">
        <v>298</v>
      </c>
      <c r="L549" s="9">
        <v>2018</v>
      </c>
      <c r="M549" s="8" t="s">
        <v>3308</v>
      </c>
      <c r="N549" s="8" t="s">
        <v>41</v>
      </c>
      <c r="O549" s="8" t="s">
        <v>97</v>
      </c>
      <c r="P549" s="6" t="s">
        <v>54</v>
      </c>
      <c r="Q549" s="8" t="s">
        <v>86</v>
      </c>
      <c r="R549" s="10" t="s">
        <v>1408</v>
      </c>
      <c r="S549" s="11" t="s">
        <v>3309</v>
      </c>
      <c r="T549" s="6"/>
      <c r="U549" s="28" t="str">
        <f>HYPERLINK("https://media.infra-m.ru/0971/0971373/cover/971373.jpg", "Обложка")</f>
        <v>Обложка</v>
      </c>
      <c r="V549" s="28" t="str">
        <f>HYPERLINK("https://znanium.com/catalog/product/1981608", "Ознакомиться")</f>
        <v>Ознакомиться</v>
      </c>
      <c r="W549" s="8" t="s">
        <v>2804</v>
      </c>
      <c r="X549" s="6"/>
      <c r="Y549" s="6"/>
      <c r="Z549" s="6"/>
      <c r="AA549" s="6" t="s">
        <v>317</v>
      </c>
    </row>
    <row r="550" spans="1:27" s="4" customFormat="1" ht="42" customHeight="1">
      <c r="A550" s="5">
        <v>0</v>
      </c>
      <c r="B550" s="6" t="s">
        <v>3310</v>
      </c>
      <c r="C550" s="13">
        <v>1664</v>
      </c>
      <c r="D550" s="8" t="s">
        <v>3311</v>
      </c>
      <c r="E550" s="8" t="s">
        <v>3312</v>
      </c>
      <c r="F550" s="8" t="s">
        <v>3313</v>
      </c>
      <c r="G550" s="6" t="s">
        <v>95</v>
      </c>
      <c r="H550" s="6" t="s">
        <v>347</v>
      </c>
      <c r="I550" s="8"/>
      <c r="J550" s="9">
        <v>1</v>
      </c>
      <c r="K550" s="9">
        <v>368</v>
      </c>
      <c r="L550" s="9">
        <v>2023</v>
      </c>
      <c r="M550" s="8" t="s">
        <v>3314</v>
      </c>
      <c r="N550" s="8" t="s">
        <v>41</v>
      </c>
      <c r="O550" s="8" t="s">
        <v>97</v>
      </c>
      <c r="P550" s="6" t="s">
        <v>54</v>
      </c>
      <c r="Q550" s="8" t="s">
        <v>86</v>
      </c>
      <c r="R550" s="10" t="s">
        <v>3315</v>
      </c>
      <c r="S550" s="11"/>
      <c r="T550" s="6"/>
      <c r="U550" s="28" t="str">
        <f>HYPERLINK("https://media.infra-m.ru/1841/1841687/cover/1841687.jpg", "Обложка")</f>
        <v>Обложка</v>
      </c>
      <c r="V550" s="28" t="str">
        <f>HYPERLINK("https://znanium.com/catalog/product/933875", "Ознакомиться")</f>
        <v>Ознакомиться</v>
      </c>
      <c r="W550" s="8" t="s">
        <v>579</v>
      </c>
      <c r="X550" s="6"/>
      <c r="Y550" s="6"/>
      <c r="Z550" s="6"/>
      <c r="AA550" s="6" t="s">
        <v>610</v>
      </c>
    </row>
    <row r="551" spans="1:27" s="4" customFormat="1" ht="51.95" customHeight="1">
      <c r="A551" s="5">
        <v>0</v>
      </c>
      <c r="B551" s="6" t="s">
        <v>3316</v>
      </c>
      <c r="C551" s="7">
        <v>300</v>
      </c>
      <c r="D551" s="8" t="s">
        <v>3317</v>
      </c>
      <c r="E551" s="8" t="s">
        <v>3318</v>
      </c>
      <c r="F551" s="8" t="s">
        <v>3319</v>
      </c>
      <c r="G551" s="6" t="s">
        <v>37</v>
      </c>
      <c r="H551" s="6" t="s">
        <v>64</v>
      </c>
      <c r="I551" s="8" t="s">
        <v>83</v>
      </c>
      <c r="J551" s="9">
        <v>1</v>
      </c>
      <c r="K551" s="9">
        <v>88</v>
      </c>
      <c r="L551" s="9">
        <v>2020</v>
      </c>
      <c r="M551" s="8" t="s">
        <v>3320</v>
      </c>
      <c r="N551" s="8" t="s">
        <v>41</v>
      </c>
      <c r="O551" s="8" t="s">
        <v>97</v>
      </c>
      <c r="P551" s="6" t="s">
        <v>54</v>
      </c>
      <c r="Q551" s="8" t="s">
        <v>86</v>
      </c>
      <c r="R551" s="10" t="s">
        <v>653</v>
      </c>
      <c r="S551" s="11" t="s">
        <v>3321</v>
      </c>
      <c r="T551" s="6" t="s">
        <v>144</v>
      </c>
      <c r="U551" s="28" t="str">
        <f>HYPERLINK("https://media.infra-m.ru/1049/1049435/cover/1049435.jpg", "Обложка")</f>
        <v>Обложка</v>
      </c>
      <c r="V551" s="28" t="str">
        <f>HYPERLINK("https://znanium.com/catalog/product/1893763", "Ознакомиться")</f>
        <v>Ознакомиться</v>
      </c>
      <c r="W551" s="8" t="s">
        <v>110</v>
      </c>
      <c r="X551" s="6"/>
      <c r="Y551" s="6"/>
      <c r="Z551" s="6"/>
      <c r="AA551" s="6" t="s">
        <v>610</v>
      </c>
    </row>
    <row r="552" spans="1:27" s="4" customFormat="1" ht="51.95" customHeight="1">
      <c r="A552" s="5">
        <v>0</v>
      </c>
      <c r="B552" s="6" t="s">
        <v>3322</v>
      </c>
      <c r="C552" s="7">
        <v>660</v>
      </c>
      <c r="D552" s="8" t="s">
        <v>3323</v>
      </c>
      <c r="E552" s="8" t="s">
        <v>3324</v>
      </c>
      <c r="F552" s="8" t="s">
        <v>3325</v>
      </c>
      <c r="G552" s="6" t="s">
        <v>63</v>
      </c>
      <c r="H552" s="6" t="s">
        <v>64</v>
      </c>
      <c r="I552" s="8" t="s">
        <v>185</v>
      </c>
      <c r="J552" s="9">
        <v>1</v>
      </c>
      <c r="K552" s="9">
        <v>132</v>
      </c>
      <c r="L552" s="9">
        <v>2023</v>
      </c>
      <c r="M552" s="8" t="s">
        <v>3326</v>
      </c>
      <c r="N552" s="8" t="s">
        <v>41</v>
      </c>
      <c r="O552" s="8" t="s">
        <v>97</v>
      </c>
      <c r="P552" s="6" t="s">
        <v>54</v>
      </c>
      <c r="Q552" s="8" t="s">
        <v>134</v>
      </c>
      <c r="R552" s="10" t="s">
        <v>653</v>
      </c>
      <c r="S552" s="11" t="s">
        <v>3327</v>
      </c>
      <c r="T552" s="6" t="s">
        <v>144</v>
      </c>
      <c r="U552" s="28" t="str">
        <f>HYPERLINK("https://media.infra-m.ru/2073/2073431/cover/2073431.jpg", "Обложка")</f>
        <v>Обложка</v>
      </c>
      <c r="V552" s="28" t="str">
        <f>HYPERLINK("https://znanium.com/catalog/product/1893763", "Ознакомиться")</f>
        <v>Ознакомиться</v>
      </c>
      <c r="W552" s="8" t="s">
        <v>110</v>
      </c>
      <c r="X552" s="6"/>
      <c r="Y552" s="6"/>
      <c r="Z552" s="6"/>
      <c r="AA552" s="6" t="s">
        <v>441</v>
      </c>
    </row>
    <row r="553" spans="1:27" s="4" customFormat="1" ht="42" customHeight="1">
      <c r="A553" s="5">
        <v>0</v>
      </c>
      <c r="B553" s="6" t="s">
        <v>3328</v>
      </c>
      <c r="C553" s="13">
        <v>1064.9000000000001</v>
      </c>
      <c r="D553" s="8" t="s">
        <v>3329</v>
      </c>
      <c r="E553" s="8" t="s">
        <v>3330</v>
      </c>
      <c r="F553" s="8" t="s">
        <v>3331</v>
      </c>
      <c r="G553" s="6" t="s">
        <v>95</v>
      </c>
      <c r="H553" s="6" t="s">
        <v>347</v>
      </c>
      <c r="I553" s="8"/>
      <c r="J553" s="9">
        <v>1</v>
      </c>
      <c r="K553" s="9">
        <v>272</v>
      </c>
      <c r="L553" s="9">
        <v>2022</v>
      </c>
      <c r="M553" s="8" t="s">
        <v>3332</v>
      </c>
      <c r="N553" s="8" t="s">
        <v>41</v>
      </c>
      <c r="O553" s="8" t="s">
        <v>97</v>
      </c>
      <c r="P553" s="6" t="s">
        <v>43</v>
      </c>
      <c r="Q553" s="8" t="s">
        <v>44</v>
      </c>
      <c r="R553" s="10" t="s">
        <v>98</v>
      </c>
      <c r="S553" s="11"/>
      <c r="T553" s="6"/>
      <c r="U553" s="28" t="str">
        <f>HYPERLINK("https://media.infra-m.ru/1844/1844302/cover/1844302.jpg", "Обложка")</f>
        <v>Обложка</v>
      </c>
      <c r="V553" s="28" t="str">
        <f>HYPERLINK("https://znanium.com/catalog/product/1844302", "Ознакомиться")</f>
        <v>Ознакомиться</v>
      </c>
      <c r="W553" s="8" t="s">
        <v>492</v>
      </c>
      <c r="X553" s="6"/>
      <c r="Y553" s="6"/>
      <c r="Z553" s="6"/>
      <c r="AA553" s="6" t="s">
        <v>47</v>
      </c>
    </row>
    <row r="554" spans="1:27" s="4" customFormat="1" ht="51.95" customHeight="1">
      <c r="A554" s="5">
        <v>0</v>
      </c>
      <c r="B554" s="6" t="s">
        <v>3333</v>
      </c>
      <c r="C554" s="7">
        <v>634.9</v>
      </c>
      <c r="D554" s="8" t="s">
        <v>3334</v>
      </c>
      <c r="E554" s="8" t="s">
        <v>3335</v>
      </c>
      <c r="F554" s="8" t="s">
        <v>3336</v>
      </c>
      <c r="G554" s="6" t="s">
        <v>37</v>
      </c>
      <c r="H554" s="6" t="s">
        <v>64</v>
      </c>
      <c r="I554" s="8" t="s">
        <v>83</v>
      </c>
      <c r="J554" s="9">
        <v>1</v>
      </c>
      <c r="K554" s="9">
        <v>141</v>
      </c>
      <c r="L554" s="9">
        <v>2023</v>
      </c>
      <c r="M554" s="8" t="s">
        <v>3337</v>
      </c>
      <c r="N554" s="8" t="s">
        <v>41</v>
      </c>
      <c r="O554" s="8" t="s">
        <v>85</v>
      </c>
      <c r="P554" s="6" t="s">
        <v>54</v>
      </c>
      <c r="Q554" s="8" t="s">
        <v>86</v>
      </c>
      <c r="R554" s="10" t="s">
        <v>3338</v>
      </c>
      <c r="S554" s="11"/>
      <c r="T554" s="6"/>
      <c r="U554" s="28" t="str">
        <f>HYPERLINK("https://media.infra-m.ru/1981/1981699/cover/1981699.jpg", "Обложка")</f>
        <v>Обложка</v>
      </c>
      <c r="V554" s="28" t="str">
        <f>HYPERLINK("https://znanium.com/catalog/product/1062671", "Ознакомиться")</f>
        <v>Ознакомиться</v>
      </c>
      <c r="W554" s="8" t="s">
        <v>1823</v>
      </c>
      <c r="X554" s="6"/>
      <c r="Y554" s="6"/>
      <c r="Z554" s="6"/>
      <c r="AA554" s="6" t="s">
        <v>47</v>
      </c>
    </row>
    <row r="555" spans="1:27" s="4" customFormat="1" ht="51.95" customHeight="1">
      <c r="A555" s="5">
        <v>0</v>
      </c>
      <c r="B555" s="6" t="s">
        <v>3339</v>
      </c>
      <c r="C555" s="7">
        <v>449.9</v>
      </c>
      <c r="D555" s="8" t="s">
        <v>3340</v>
      </c>
      <c r="E555" s="8" t="s">
        <v>3341</v>
      </c>
      <c r="F555" s="8" t="s">
        <v>3342</v>
      </c>
      <c r="G555" s="6" t="s">
        <v>95</v>
      </c>
      <c r="H555" s="6" t="s">
        <v>64</v>
      </c>
      <c r="I555" s="8" t="s">
        <v>39</v>
      </c>
      <c r="J555" s="9">
        <v>16</v>
      </c>
      <c r="K555" s="9">
        <v>238</v>
      </c>
      <c r="L555" s="9">
        <v>2015</v>
      </c>
      <c r="M555" s="8" t="s">
        <v>3343</v>
      </c>
      <c r="N555" s="8" t="s">
        <v>41</v>
      </c>
      <c r="O555" s="8" t="s">
        <v>97</v>
      </c>
      <c r="P555" s="6" t="s">
        <v>43</v>
      </c>
      <c r="Q555" s="8" t="s">
        <v>44</v>
      </c>
      <c r="R555" s="10" t="s">
        <v>172</v>
      </c>
      <c r="S555" s="11"/>
      <c r="T555" s="6"/>
      <c r="U555" s="28" t="str">
        <f>HYPERLINK("https://media.infra-m.ru/0471/0471624/cover/471624.jpg", "Обложка")</f>
        <v>Обложка</v>
      </c>
      <c r="V555" s="28" t="str">
        <f>HYPERLINK("https://znanium.com/catalog/product/471624", "Ознакомиться")</f>
        <v>Ознакомиться</v>
      </c>
      <c r="W555" s="8" t="s">
        <v>1537</v>
      </c>
      <c r="X555" s="6"/>
      <c r="Y555" s="6"/>
      <c r="Z555" s="6"/>
      <c r="AA555" s="6" t="s">
        <v>90</v>
      </c>
    </row>
    <row r="556" spans="1:27" s="4" customFormat="1" ht="44.1" customHeight="1">
      <c r="A556" s="5">
        <v>0</v>
      </c>
      <c r="B556" s="6" t="s">
        <v>3344</v>
      </c>
      <c r="C556" s="7">
        <v>470</v>
      </c>
      <c r="D556" s="8" t="s">
        <v>3345</v>
      </c>
      <c r="E556" s="8" t="s">
        <v>3346</v>
      </c>
      <c r="F556" s="8" t="s">
        <v>3347</v>
      </c>
      <c r="G556" s="6" t="s">
        <v>37</v>
      </c>
      <c r="H556" s="6" t="s">
        <v>52</v>
      </c>
      <c r="I556" s="8"/>
      <c r="J556" s="9">
        <v>1</v>
      </c>
      <c r="K556" s="9">
        <v>104</v>
      </c>
      <c r="L556" s="9">
        <v>2023</v>
      </c>
      <c r="M556" s="8" t="s">
        <v>3348</v>
      </c>
      <c r="N556" s="8" t="s">
        <v>41</v>
      </c>
      <c r="O556" s="8" t="s">
        <v>97</v>
      </c>
      <c r="P556" s="6" t="s">
        <v>43</v>
      </c>
      <c r="Q556" s="8" t="s">
        <v>44</v>
      </c>
      <c r="R556" s="10" t="s">
        <v>3349</v>
      </c>
      <c r="S556" s="11"/>
      <c r="T556" s="6"/>
      <c r="U556" s="28" t="str">
        <f>HYPERLINK("https://media.infra-m.ru/1864/1864374/cover/1864374.jpg", "Обложка")</f>
        <v>Обложка</v>
      </c>
      <c r="V556" s="28" t="str">
        <f>HYPERLINK("https://znanium.com/catalog/product/1864374", "Ознакомиться")</f>
        <v>Ознакомиться</v>
      </c>
      <c r="W556" s="8" t="s">
        <v>1180</v>
      </c>
      <c r="X556" s="6"/>
      <c r="Y556" s="6"/>
      <c r="Z556" s="6"/>
      <c r="AA556" s="6" t="s">
        <v>401</v>
      </c>
    </row>
    <row r="557" spans="1:27" s="4" customFormat="1" ht="42" customHeight="1">
      <c r="A557" s="5">
        <v>0</v>
      </c>
      <c r="B557" s="6" t="s">
        <v>3350</v>
      </c>
      <c r="C557" s="13">
        <v>1070</v>
      </c>
      <c r="D557" s="8" t="s">
        <v>3351</v>
      </c>
      <c r="E557" s="8" t="s">
        <v>3352</v>
      </c>
      <c r="F557" s="8" t="s">
        <v>3353</v>
      </c>
      <c r="G557" s="6" t="s">
        <v>63</v>
      </c>
      <c r="H557" s="6" t="s">
        <v>64</v>
      </c>
      <c r="I557" s="8" t="s">
        <v>185</v>
      </c>
      <c r="J557" s="9">
        <v>1</v>
      </c>
      <c r="K557" s="9">
        <v>225</v>
      </c>
      <c r="L557" s="9">
        <v>2024</v>
      </c>
      <c r="M557" s="8" t="s">
        <v>3354</v>
      </c>
      <c r="N557" s="8" t="s">
        <v>41</v>
      </c>
      <c r="O557" s="8" t="s">
        <v>97</v>
      </c>
      <c r="P557" s="6" t="s">
        <v>54</v>
      </c>
      <c r="Q557" s="8" t="s">
        <v>86</v>
      </c>
      <c r="R557" s="10" t="s">
        <v>1933</v>
      </c>
      <c r="S557" s="11"/>
      <c r="T557" s="6"/>
      <c r="U557" s="28" t="str">
        <f>HYPERLINK("https://media.infra-m.ru/2110/2110953/cover/2110953.jpg", "Обложка")</f>
        <v>Обложка</v>
      </c>
      <c r="V557" s="28" t="str">
        <f>HYPERLINK("https://znanium.com/catalog/product/2110953", "Ознакомиться")</f>
        <v>Ознакомиться</v>
      </c>
      <c r="W557" s="8" t="s">
        <v>1198</v>
      </c>
      <c r="X557" s="6"/>
      <c r="Y557" s="6"/>
      <c r="Z557" s="6"/>
      <c r="AA557" s="6" t="s">
        <v>112</v>
      </c>
    </row>
    <row r="558" spans="1:27" s="4" customFormat="1" ht="51.95" customHeight="1">
      <c r="A558" s="5">
        <v>0</v>
      </c>
      <c r="B558" s="6" t="s">
        <v>3355</v>
      </c>
      <c r="C558" s="7">
        <v>734</v>
      </c>
      <c r="D558" s="8" t="s">
        <v>3356</v>
      </c>
      <c r="E558" s="8" t="s">
        <v>3357</v>
      </c>
      <c r="F558" s="8" t="s">
        <v>3358</v>
      </c>
      <c r="G558" s="6" t="s">
        <v>95</v>
      </c>
      <c r="H558" s="6" t="s">
        <v>64</v>
      </c>
      <c r="I558" s="8" t="s">
        <v>83</v>
      </c>
      <c r="J558" s="9">
        <v>1</v>
      </c>
      <c r="K558" s="9">
        <v>160</v>
      </c>
      <c r="L558" s="9">
        <v>2024</v>
      </c>
      <c r="M558" s="8" t="s">
        <v>3359</v>
      </c>
      <c r="N558" s="8" t="s">
        <v>1859</v>
      </c>
      <c r="O558" s="8" t="s">
        <v>1860</v>
      </c>
      <c r="P558" s="6" t="s">
        <v>54</v>
      </c>
      <c r="Q558" s="8" t="s">
        <v>86</v>
      </c>
      <c r="R558" s="10" t="s">
        <v>538</v>
      </c>
      <c r="S558" s="11" t="s">
        <v>3360</v>
      </c>
      <c r="T558" s="6"/>
      <c r="U558" s="28" t="str">
        <f>HYPERLINK("https://media.infra-m.ru/2103/2103127/cover/2103127.jpg", "Обложка")</f>
        <v>Обложка</v>
      </c>
      <c r="V558" s="28" t="str">
        <f>HYPERLINK("https://znanium.com/catalog/product/1044508", "Ознакомиться")</f>
        <v>Ознакомиться</v>
      </c>
      <c r="W558" s="8" t="s">
        <v>120</v>
      </c>
      <c r="X558" s="6"/>
      <c r="Y558" s="6"/>
      <c r="Z558" s="6"/>
      <c r="AA558" s="6" t="s">
        <v>47</v>
      </c>
    </row>
    <row r="559" spans="1:27" s="4" customFormat="1" ht="51.95" customHeight="1">
      <c r="A559" s="5">
        <v>0</v>
      </c>
      <c r="B559" s="6" t="s">
        <v>3361</v>
      </c>
      <c r="C559" s="13">
        <v>1990</v>
      </c>
      <c r="D559" s="8" t="s">
        <v>3362</v>
      </c>
      <c r="E559" s="8" t="s">
        <v>3357</v>
      </c>
      <c r="F559" s="8" t="s">
        <v>3363</v>
      </c>
      <c r="G559" s="6" t="s">
        <v>63</v>
      </c>
      <c r="H559" s="6" t="s">
        <v>64</v>
      </c>
      <c r="I559" s="8" t="s">
        <v>65</v>
      </c>
      <c r="J559" s="9">
        <v>1</v>
      </c>
      <c r="K559" s="9">
        <v>481</v>
      </c>
      <c r="L559" s="9">
        <v>2022</v>
      </c>
      <c r="M559" s="8" t="s">
        <v>3364</v>
      </c>
      <c r="N559" s="8" t="s">
        <v>41</v>
      </c>
      <c r="O559" s="8" t="s">
        <v>97</v>
      </c>
      <c r="P559" s="6" t="s">
        <v>54</v>
      </c>
      <c r="Q559" s="8" t="s">
        <v>55</v>
      </c>
      <c r="R559" s="10" t="s">
        <v>3365</v>
      </c>
      <c r="S559" s="11" t="s">
        <v>3366</v>
      </c>
      <c r="T559" s="6"/>
      <c r="U559" s="28" t="str">
        <f>HYPERLINK("https://media.infra-m.ru/1873/1873256/cover/1873256.jpg", "Обложка")</f>
        <v>Обложка</v>
      </c>
      <c r="V559" s="28" t="str">
        <f>HYPERLINK("https://znanium.com/catalog/product/1873256", "Ознакомиться")</f>
        <v>Ознакомиться</v>
      </c>
      <c r="W559" s="8" t="s">
        <v>110</v>
      </c>
      <c r="X559" s="6"/>
      <c r="Y559" s="6"/>
      <c r="Z559" s="6"/>
      <c r="AA559" s="6" t="s">
        <v>90</v>
      </c>
    </row>
    <row r="560" spans="1:27" s="4" customFormat="1" ht="51.95" customHeight="1">
      <c r="A560" s="5">
        <v>0</v>
      </c>
      <c r="B560" s="6" t="s">
        <v>3367</v>
      </c>
      <c r="C560" s="7">
        <v>740</v>
      </c>
      <c r="D560" s="8" t="s">
        <v>3368</v>
      </c>
      <c r="E560" s="8" t="s">
        <v>3369</v>
      </c>
      <c r="F560" s="8" t="s">
        <v>3370</v>
      </c>
      <c r="G560" s="6" t="s">
        <v>37</v>
      </c>
      <c r="H560" s="6" t="s">
        <v>64</v>
      </c>
      <c r="I560" s="8" t="s">
        <v>39</v>
      </c>
      <c r="J560" s="9">
        <v>1</v>
      </c>
      <c r="K560" s="9">
        <v>230</v>
      </c>
      <c r="L560" s="9">
        <v>2018</v>
      </c>
      <c r="M560" s="8" t="s">
        <v>3371</v>
      </c>
      <c r="N560" s="8" t="s">
        <v>41</v>
      </c>
      <c r="O560" s="8" t="s">
        <v>97</v>
      </c>
      <c r="P560" s="6" t="s">
        <v>43</v>
      </c>
      <c r="Q560" s="8" t="s">
        <v>44</v>
      </c>
      <c r="R560" s="10" t="s">
        <v>3372</v>
      </c>
      <c r="S560" s="11"/>
      <c r="T560" s="6"/>
      <c r="U560" s="28" t="str">
        <f>HYPERLINK("https://media.infra-m.ru/0973/0973389/cover/973389.jpg", "Обложка")</f>
        <v>Обложка</v>
      </c>
      <c r="V560" s="28" t="str">
        <f>HYPERLINK("https://znanium.com/catalog/product/973389", "Ознакомиться")</f>
        <v>Ознакомиться</v>
      </c>
      <c r="W560" s="8" t="s">
        <v>3014</v>
      </c>
      <c r="X560" s="6"/>
      <c r="Y560" s="6"/>
      <c r="Z560" s="6"/>
      <c r="AA560" s="6" t="s">
        <v>47</v>
      </c>
    </row>
    <row r="561" spans="1:27" s="4" customFormat="1" ht="51.95" customHeight="1">
      <c r="A561" s="5">
        <v>0</v>
      </c>
      <c r="B561" s="6" t="s">
        <v>3373</v>
      </c>
      <c r="C561" s="13">
        <v>1200</v>
      </c>
      <c r="D561" s="8" t="s">
        <v>3374</v>
      </c>
      <c r="E561" s="8" t="s">
        <v>3375</v>
      </c>
      <c r="F561" s="8" t="s">
        <v>201</v>
      </c>
      <c r="G561" s="6" t="s">
        <v>95</v>
      </c>
      <c r="H561" s="6" t="s">
        <v>64</v>
      </c>
      <c r="I561" s="8" t="s">
        <v>3376</v>
      </c>
      <c r="J561" s="9">
        <v>1</v>
      </c>
      <c r="K561" s="9">
        <v>258</v>
      </c>
      <c r="L561" s="9">
        <v>2024</v>
      </c>
      <c r="M561" s="8" t="s">
        <v>3377</v>
      </c>
      <c r="N561" s="8" t="s">
        <v>41</v>
      </c>
      <c r="O561" s="8" t="s">
        <v>85</v>
      </c>
      <c r="P561" s="6" t="s">
        <v>67</v>
      </c>
      <c r="Q561" s="8" t="s">
        <v>55</v>
      </c>
      <c r="R561" s="10" t="s">
        <v>3378</v>
      </c>
      <c r="S561" s="11" t="s">
        <v>3379</v>
      </c>
      <c r="T561" s="6"/>
      <c r="U561" s="28" t="str">
        <f>HYPERLINK("https://media.infra-m.ru/1989/1989243/cover/1989243.jpg", "Обложка")</f>
        <v>Обложка</v>
      </c>
      <c r="V561" s="28" t="str">
        <f>HYPERLINK("https://znanium.com/catalog/product/1989243", "Ознакомиться")</f>
        <v>Ознакомиться</v>
      </c>
      <c r="W561" s="8" t="s">
        <v>120</v>
      </c>
      <c r="X561" s="6" t="s">
        <v>617</v>
      </c>
      <c r="Y561" s="6"/>
      <c r="Z561" s="6"/>
      <c r="AA561" s="6" t="s">
        <v>610</v>
      </c>
    </row>
    <row r="562" spans="1:27" s="4" customFormat="1" ht="51.95" customHeight="1">
      <c r="A562" s="5">
        <v>0</v>
      </c>
      <c r="B562" s="6" t="s">
        <v>3380</v>
      </c>
      <c r="C562" s="13">
        <v>1214.9000000000001</v>
      </c>
      <c r="D562" s="8" t="s">
        <v>3381</v>
      </c>
      <c r="E562" s="8" t="s">
        <v>3382</v>
      </c>
      <c r="F562" s="8" t="s">
        <v>3383</v>
      </c>
      <c r="G562" s="6" t="s">
        <v>95</v>
      </c>
      <c r="H562" s="6" t="s">
        <v>64</v>
      </c>
      <c r="I562" s="8" t="s">
        <v>83</v>
      </c>
      <c r="J562" s="9">
        <v>1</v>
      </c>
      <c r="K562" s="9">
        <v>269</v>
      </c>
      <c r="L562" s="9">
        <v>2023</v>
      </c>
      <c r="M562" s="8" t="s">
        <v>3384</v>
      </c>
      <c r="N562" s="8" t="s">
        <v>41</v>
      </c>
      <c r="O562" s="8" t="s">
        <v>85</v>
      </c>
      <c r="P562" s="6" t="s">
        <v>54</v>
      </c>
      <c r="Q562" s="8" t="s">
        <v>86</v>
      </c>
      <c r="R562" s="10" t="s">
        <v>142</v>
      </c>
      <c r="S562" s="11" t="s">
        <v>3385</v>
      </c>
      <c r="T562" s="6"/>
      <c r="U562" s="28" t="str">
        <f>HYPERLINK("https://media.infra-m.ru/1911/1911184/cover/1911184.jpg", "Обложка")</f>
        <v>Обложка</v>
      </c>
      <c r="V562" s="28" t="str">
        <f>HYPERLINK("https://znanium.com/catalog/product/1254303", "Ознакомиться")</f>
        <v>Ознакомиться</v>
      </c>
      <c r="W562" s="8" t="s">
        <v>400</v>
      </c>
      <c r="X562" s="6"/>
      <c r="Y562" s="6"/>
      <c r="Z562" s="6"/>
      <c r="AA562" s="6" t="s">
        <v>90</v>
      </c>
    </row>
    <row r="563" spans="1:27" s="4" customFormat="1" ht="51.95" customHeight="1">
      <c r="A563" s="5">
        <v>0</v>
      </c>
      <c r="B563" s="6" t="s">
        <v>3386</v>
      </c>
      <c r="C563" s="13">
        <v>1234</v>
      </c>
      <c r="D563" s="8" t="s">
        <v>3387</v>
      </c>
      <c r="E563" s="8" t="s">
        <v>3388</v>
      </c>
      <c r="F563" s="8" t="s">
        <v>3389</v>
      </c>
      <c r="G563" s="6" t="s">
        <v>95</v>
      </c>
      <c r="H563" s="6" t="s">
        <v>64</v>
      </c>
      <c r="I563" s="8" t="s">
        <v>83</v>
      </c>
      <c r="J563" s="9">
        <v>1</v>
      </c>
      <c r="K563" s="9">
        <v>272</v>
      </c>
      <c r="L563" s="9">
        <v>2023</v>
      </c>
      <c r="M563" s="8" t="s">
        <v>3390</v>
      </c>
      <c r="N563" s="8" t="s">
        <v>41</v>
      </c>
      <c r="O563" s="8" t="s">
        <v>97</v>
      </c>
      <c r="P563" s="6" t="s">
        <v>54</v>
      </c>
      <c r="Q563" s="8" t="s">
        <v>86</v>
      </c>
      <c r="R563" s="10" t="s">
        <v>555</v>
      </c>
      <c r="S563" s="11" t="s">
        <v>3391</v>
      </c>
      <c r="T563" s="6"/>
      <c r="U563" s="28" t="str">
        <f>HYPERLINK("https://media.infra-m.ru/2021/2021418/cover/2021418.jpg", "Обложка")</f>
        <v>Обложка</v>
      </c>
      <c r="V563" s="28" t="str">
        <f>HYPERLINK("https://znanium.com/catalog/product/982586", "Ознакомиться")</f>
        <v>Ознакомиться</v>
      </c>
      <c r="W563" s="8" t="s">
        <v>2191</v>
      </c>
      <c r="X563" s="6"/>
      <c r="Y563" s="6"/>
      <c r="Z563" s="6"/>
      <c r="AA563" s="6" t="s">
        <v>1122</v>
      </c>
    </row>
    <row r="564" spans="1:27" s="4" customFormat="1" ht="51.95" customHeight="1">
      <c r="A564" s="5">
        <v>0</v>
      </c>
      <c r="B564" s="6" t="s">
        <v>3392</v>
      </c>
      <c r="C564" s="7">
        <v>394</v>
      </c>
      <c r="D564" s="8" t="s">
        <v>3393</v>
      </c>
      <c r="E564" s="8" t="s">
        <v>3394</v>
      </c>
      <c r="F564" s="8" t="s">
        <v>3395</v>
      </c>
      <c r="G564" s="6" t="s">
        <v>37</v>
      </c>
      <c r="H564" s="6" t="s">
        <v>64</v>
      </c>
      <c r="I564" s="8" t="s">
        <v>192</v>
      </c>
      <c r="J564" s="9">
        <v>1</v>
      </c>
      <c r="K564" s="9">
        <v>112</v>
      </c>
      <c r="L564" s="9">
        <v>2020</v>
      </c>
      <c r="M564" s="8" t="s">
        <v>3396</v>
      </c>
      <c r="N564" s="8" t="s">
        <v>41</v>
      </c>
      <c r="O564" s="8" t="s">
        <v>97</v>
      </c>
      <c r="P564" s="6" t="s">
        <v>54</v>
      </c>
      <c r="Q564" s="8" t="s">
        <v>194</v>
      </c>
      <c r="R564" s="10" t="s">
        <v>3397</v>
      </c>
      <c r="S564" s="11" t="s">
        <v>3398</v>
      </c>
      <c r="T564" s="6"/>
      <c r="U564" s="28" t="str">
        <f>HYPERLINK("https://media.infra-m.ru/2082/2082000/cover/2082000.jpg", "Обложка")</f>
        <v>Обложка</v>
      </c>
      <c r="V564" s="28" t="str">
        <f>HYPERLINK("https://znanium.com/catalog/product/1998740", "Ознакомиться")</f>
        <v>Ознакомиться</v>
      </c>
      <c r="W564" s="8" t="s">
        <v>1869</v>
      </c>
      <c r="X564" s="6"/>
      <c r="Y564" s="6"/>
      <c r="Z564" s="6" t="s">
        <v>197</v>
      </c>
      <c r="AA564" s="6" t="s">
        <v>810</v>
      </c>
    </row>
    <row r="565" spans="1:27" s="4" customFormat="1" ht="51.95" customHeight="1">
      <c r="A565" s="5">
        <v>0</v>
      </c>
      <c r="B565" s="6" t="s">
        <v>3399</v>
      </c>
      <c r="C565" s="7">
        <v>620</v>
      </c>
      <c r="D565" s="8" t="s">
        <v>3400</v>
      </c>
      <c r="E565" s="8" t="s">
        <v>3394</v>
      </c>
      <c r="F565" s="8" t="s">
        <v>3395</v>
      </c>
      <c r="G565" s="6" t="s">
        <v>63</v>
      </c>
      <c r="H565" s="6" t="s">
        <v>64</v>
      </c>
      <c r="I565" s="8" t="s">
        <v>217</v>
      </c>
      <c r="J565" s="9">
        <v>1</v>
      </c>
      <c r="K565" s="9">
        <v>112</v>
      </c>
      <c r="L565" s="9">
        <v>2023</v>
      </c>
      <c r="M565" s="8" t="s">
        <v>3401</v>
      </c>
      <c r="N565" s="8" t="s">
        <v>41</v>
      </c>
      <c r="O565" s="8" t="s">
        <v>97</v>
      </c>
      <c r="P565" s="6" t="s">
        <v>54</v>
      </c>
      <c r="Q565" s="8" t="s">
        <v>86</v>
      </c>
      <c r="R565" s="10" t="s">
        <v>3402</v>
      </c>
      <c r="S565" s="11" t="s">
        <v>3403</v>
      </c>
      <c r="T565" s="6"/>
      <c r="U565" s="28" t="str">
        <f>HYPERLINK("https://media.infra-m.ru/1904/1904578/cover/1904578.jpg", "Обложка")</f>
        <v>Обложка</v>
      </c>
      <c r="V565" s="28" t="str">
        <f>HYPERLINK("https://znanium.com/catalog/product/1904578", "Ознакомиться")</f>
        <v>Ознакомиться</v>
      </c>
      <c r="W565" s="8" t="s">
        <v>1869</v>
      </c>
      <c r="X565" s="6"/>
      <c r="Y565" s="6"/>
      <c r="Z565" s="6"/>
      <c r="AA565" s="6" t="s">
        <v>244</v>
      </c>
    </row>
    <row r="566" spans="1:27" s="4" customFormat="1" ht="51.95" customHeight="1">
      <c r="A566" s="5">
        <v>0</v>
      </c>
      <c r="B566" s="6" t="s">
        <v>3404</v>
      </c>
      <c r="C566" s="7">
        <v>320</v>
      </c>
      <c r="D566" s="8" t="s">
        <v>3405</v>
      </c>
      <c r="E566" s="8" t="s">
        <v>3406</v>
      </c>
      <c r="F566" s="8" t="s">
        <v>3407</v>
      </c>
      <c r="G566" s="6" t="s">
        <v>37</v>
      </c>
      <c r="H566" s="6" t="s">
        <v>125</v>
      </c>
      <c r="I566" s="8"/>
      <c r="J566" s="9">
        <v>1</v>
      </c>
      <c r="K566" s="9">
        <v>96</v>
      </c>
      <c r="L566" s="9">
        <v>2018</v>
      </c>
      <c r="M566" s="8" t="s">
        <v>3408</v>
      </c>
      <c r="N566" s="8" t="s">
        <v>41</v>
      </c>
      <c r="O566" s="8" t="s">
        <v>97</v>
      </c>
      <c r="P566" s="6" t="s">
        <v>54</v>
      </c>
      <c r="Q566" s="8" t="s">
        <v>86</v>
      </c>
      <c r="R566" s="10" t="s">
        <v>3402</v>
      </c>
      <c r="S566" s="11"/>
      <c r="T566" s="6"/>
      <c r="U566" s="28" t="str">
        <f>HYPERLINK("https://media.infra-m.ru/0945/0945891/cover/945891.jpg", "Обложка")</f>
        <v>Обложка</v>
      </c>
      <c r="V566" s="28" t="str">
        <f>HYPERLINK("https://znanium.com/catalog/product/1904578", "Ознакомиться")</f>
        <v>Ознакомиться</v>
      </c>
      <c r="W566" s="8" t="s">
        <v>1869</v>
      </c>
      <c r="X566" s="6"/>
      <c r="Y566" s="6"/>
      <c r="Z566" s="6"/>
      <c r="AA566" s="6" t="s">
        <v>78</v>
      </c>
    </row>
    <row r="567" spans="1:27" s="4" customFormat="1" ht="51.95" customHeight="1">
      <c r="A567" s="5">
        <v>0</v>
      </c>
      <c r="B567" s="6" t="s">
        <v>3409</v>
      </c>
      <c r="C567" s="13">
        <v>2320</v>
      </c>
      <c r="D567" s="8" t="s">
        <v>3410</v>
      </c>
      <c r="E567" s="8" t="s">
        <v>3411</v>
      </c>
      <c r="F567" s="8" t="s">
        <v>3412</v>
      </c>
      <c r="G567" s="6" t="s">
        <v>95</v>
      </c>
      <c r="H567" s="6" t="s">
        <v>52</v>
      </c>
      <c r="I567" s="8"/>
      <c r="J567" s="9">
        <v>1</v>
      </c>
      <c r="K567" s="9">
        <v>504</v>
      </c>
      <c r="L567" s="9">
        <v>2023</v>
      </c>
      <c r="M567" s="8" t="s">
        <v>3413</v>
      </c>
      <c r="N567" s="8" t="s">
        <v>41</v>
      </c>
      <c r="O567" s="8" t="s">
        <v>42</v>
      </c>
      <c r="P567" s="6" t="s">
        <v>67</v>
      </c>
      <c r="Q567" s="8" t="s">
        <v>86</v>
      </c>
      <c r="R567" s="10" t="s">
        <v>3414</v>
      </c>
      <c r="S567" s="11"/>
      <c r="T567" s="6"/>
      <c r="U567" s="28" t="str">
        <f>HYPERLINK("https://media.infra-m.ru/2053/2053974/cover/2053974.jpg", "Обложка")</f>
        <v>Обложка</v>
      </c>
      <c r="V567" s="28" t="str">
        <f>HYPERLINK("https://znanium.com/catalog/product/2053974", "Ознакомиться")</f>
        <v>Ознакомиться</v>
      </c>
      <c r="W567" s="8" t="s">
        <v>179</v>
      </c>
      <c r="X567" s="6"/>
      <c r="Y567" s="6"/>
      <c r="Z567" s="6"/>
      <c r="AA567" s="6" t="s">
        <v>3415</v>
      </c>
    </row>
    <row r="568" spans="1:27" s="4" customFormat="1" ht="51.95" customHeight="1">
      <c r="A568" s="5">
        <v>0</v>
      </c>
      <c r="B568" s="6" t="s">
        <v>3416</v>
      </c>
      <c r="C568" s="7">
        <v>874.9</v>
      </c>
      <c r="D568" s="8" t="s">
        <v>3417</v>
      </c>
      <c r="E568" s="8" t="s">
        <v>3418</v>
      </c>
      <c r="F568" s="8" t="s">
        <v>3419</v>
      </c>
      <c r="G568" s="6" t="s">
        <v>95</v>
      </c>
      <c r="H568" s="6" t="s">
        <v>52</v>
      </c>
      <c r="I568" s="8"/>
      <c r="J568" s="9">
        <v>1</v>
      </c>
      <c r="K568" s="9">
        <v>624</v>
      </c>
      <c r="L568" s="9">
        <v>2016</v>
      </c>
      <c r="M568" s="8" t="s">
        <v>3420</v>
      </c>
      <c r="N568" s="8" t="s">
        <v>41</v>
      </c>
      <c r="O568" s="8" t="s">
        <v>42</v>
      </c>
      <c r="P568" s="6" t="s">
        <v>67</v>
      </c>
      <c r="Q568" s="8" t="s">
        <v>86</v>
      </c>
      <c r="R568" s="10" t="s">
        <v>3414</v>
      </c>
      <c r="S568" s="11"/>
      <c r="T568" s="6"/>
      <c r="U568" s="28" t="str">
        <f>HYPERLINK("https://media.infra-m.ru/0552/0552513/cover/552513.jpg", "Обложка")</f>
        <v>Обложка</v>
      </c>
      <c r="V568" s="28" t="str">
        <f>HYPERLINK("https://znanium.com/catalog/product/2053974", "Ознакомиться")</f>
        <v>Ознакомиться</v>
      </c>
      <c r="W568" s="8" t="s">
        <v>179</v>
      </c>
      <c r="X568" s="6"/>
      <c r="Y568" s="6"/>
      <c r="Z568" s="6"/>
      <c r="AA568" s="6" t="s">
        <v>3421</v>
      </c>
    </row>
    <row r="569" spans="1:27" s="4" customFormat="1" ht="42" customHeight="1">
      <c r="A569" s="5">
        <v>0</v>
      </c>
      <c r="B569" s="6" t="s">
        <v>3422</v>
      </c>
      <c r="C569" s="13">
        <v>1224.9000000000001</v>
      </c>
      <c r="D569" s="8" t="s">
        <v>3423</v>
      </c>
      <c r="E569" s="8" t="s">
        <v>3424</v>
      </c>
      <c r="F569" s="8" t="s">
        <v>3425</v>
      </c>
      <c r="G569" s="6" t="s">
        <v>63</v>
      </c>
      <c r="H569" s="6" t="s">
        <v>52</v>
      </c>
      <c r="I569" s="8" t="s">
        <v>3426</v>
      </c>
      <c r="J569" s="9">
        <v>1</v>
      </c>
      <c r="K569" s="9">
        <v>272</v>
      </c>
      <c r="L569" s="9">
        <v>2023</v>
      </c>
      <c r="M569" s="8" t="s">
        <v>3427</v>
      </c>
      <c r="N569" s="8" t="s">
        <v>41</v>
      </c>
      <c r="O569" s="8" t="s">
        <v>42</v>
      </c>
      <c r="P569" s="6" t="s">
        <v>67</v>
      </c>
      <c r="Q569" s="8" t="s">
        <v>194</v>
      </c>
      <c r="R569" s="10" t="s">
        <v>3428</v>
      </c>
      <c r="S569" s="11"/>
      <c r="T569" s="6"/>
      <c r="U569" s="28" t="str">
        <f>HYPERLINK("https://media.infra-m.ru/1893/1893953/cover/1893953.jpg", "Обложка")</f>
        <v>Обложка</v>
      </c>
      <c r="V569" s="28" t="str">
        <f>HYPERLINK("https://znanium.com/catalog/product/2066409", "Ознакомиться")</f>
        <v>Ознакомиться</v>
      </c>
      <c r="W569" s="8" t="s">
        <v>57</v>
      </c>
      <c r="X569" s="6"/>
      <c r="Y569" s="6"/>
      <c r="Z569" s="6"/>
      <c r="AA569" s="6" t="s">
        <v>3429</v>
      </c>
    </row>
    <row r="570" spans="1:27" s="4" customFormat="1" ht="42" customHeight="1">
      <c r="A570" s="5">
        <v>0</v>
      </c>
      <c r="B570" s="6" t="s">
        <v>3430</v>
      </c>
      <c r="C570" s="13">
        <v>1220</v>
      </c>
      <c r="D570" s="8" t="s">
        <v>3431</v>
      </c>
      <c r="E570" s="8" t="s">
        <v>3432</v>
      </c>
      <c r="F570" s="8" t="s">
        <v>3425</v>
      </c>
      <c r="G570" s="6" t="s">
        <v>63</v>
      </c>
      <c r="H570" s="6" t="s">
        <v>52</v>
      </c>
      <c r="I570" s="8" t="s">
        <v>3426</v>
      </c>
      <c r="J570" s="9">
        <v>1</v>
      </c>
      <c r="K570" s="9">
        <v>256</v>
      </c>
      <c r="L570" s="9">
        <v>2023</v>
      </c>
      <c r="M570" s="8" t="s">
        <v>3433</v>
      </c>
      <c r="N570" s="8" t="s">
        <v>41</v>
      </c>
      <c r="O570" s="8" t="s">
        <v>42</v>
      </c>
      <c r="P570" s="6" t="s">
        <v>67</v>
      </c>
      <c r="Q570" s="8" t="s">
        <v>194</v>
      </c>
      <c r="R570" s="10" t="s">
        <v>3428</v>
      </c>
      <c r="S570" s="11"/>
      <c r="T570" s="6"/>
      <c r="U570" s="28" t="str">
        <f>HYPERLINK("https://media.infra-m.ru/2066/2066409/cover/2066409.jpg", "Обложка")</f>
        <v>Обложка</v>
      </c>
      <c r="V570" s="28" t="str">
        <f>HYPERLINK("https://znanium.com/catalog/product/2066409", "Ознакомиться")</f>
        <v>Ознакомиться</v>
      </c>
      <c r="W570" s="8" t="s">
        <v>57</v>
      </c>
      <c r="X570" s="6" t="s">
        <v>2136</v>
      </c>
      <c r="Y570" s="6"/>
      <c r="Z570" s="6"/>
      <c r="AA570" s="6" t="s">
        <v>3434</v>
      </c>
    </row>
    <row r="571" spans="1:27" s="4" customFormat="1" ht="51.95" customHeight="1">
      <c r="A571" s="5">
        <v>0</v>
      </c>
      <c r="B571" s="6" t="s">
        <v>3435</v>
      </c>
      <c r="C571" s="13">
        <v>2074</v>
      </c>
      <c r="D571" s="8" t="s">
        <v>3436</v>
      </c>
      <c r="E571" s="8" t="s">
        <v>3437</v>
      </c>
      <c r="F571" s="8" t="s">
        <v>3438</v>
      </c>
      <c r="G571" s="6" t="s">
        <v>95</v>
      </c>
      <c r="H571" s="6" t="s">
        <v>52</v>
      </c>
      <c r="I571" s="8"/>
      <c r="J571" s="9">
        <v>1</v>
      </c>
      <c r="K571" s="9">
        <v>648</v>
      </c>
      <c r="L571" s="9">
        <v>2024</v>
      </c>
      <c r="M571" s="8" t="s">
        <v>3439</v>
      </c>
      <c r="N571" s="8" t="s">
        <v>41</v>
      </c>
      <c r="O571" s="8" t="s">
        <v>42</v>
      </c>
      <c r="P571" s="6" t="s">
        <v>67</v>
      </c>
      <c r="Q571" s="8" t="s">
        <v>86</v>
      </c>
      <c r="R571" s="10" t="s">
        <v>3440</v>
      </c>
      <c r="S571" s="11" t="s">
        <v>3441</v>
      </c>
      <c r="T571" s="6"/>
      <c r="U571" s="28" t="str">
        <f>HYPERLINK("https://media.infra-m.ru/1893/1893955/cover/1893955.jpg", "Обложка")</f>
        <v>Обложка</v>
      </c>
      <c r="V571" s="28" t="str">
        <f>HYPERLINK("https://znanium.com/catalog/product/1092466", "Ознакомиться")</f>
        <v>Ознакомиться</v>
      </c>
      <c r="W571" s="8" t="s">
        <v>3442</v>
      </c>
      <c r="X571" s="6"/>
      <c r="Y571" s="6"/>
      <c r="Z571" s="6"/>
      <c r="AA571" s="6" t="s">
        <v>121</v>
      </c>
    </row>
    <row r="572" spans="1:27" s="4" customFormat="1" ht="51.95" customHeight="1">
      <c r="A572" s="5">
        <v>0</v>
      </c>
      <c r="B572" s="6" t="s">
        <v>3443</v>
      </c>
      <c r="C572" s="13">
        <v>2224</v>
      </c>
      <c r="D572" s="8" t="s">
        <v>3444</v>
      </c>
      <c r="E572" s="8" t="s">
        <v>3432</v>
      </c>
      <c r="F572" s="8" t="s">
        <v>3445</v>
      </c>
      <c r="G572" s="6" t="s">
        <v>63</v>
      </c>
      <c r="H572" s="6" t="s">
        <v>52</v>
      </c>
      <c r="I572" s="8"/>
      <c r="J572" s="9">
        <v>1</v>
      </c>
      <c r="K572" s="9">
        <v>800</v>
      </c>
      <c r="L572" s="9">
        <v>2023</v>
      </c>
      <c r="M572" s="8" t="s">
        <v>3446</v>
      </c>
      <c r="N572" s="8" t="s">
        <v>41</v>
      </c>
      <c r="O572" s="8" t="s">
        <v>42</v>
      </c>
      <c r="P572" s="6" t="s">
        <v>67</v>
      </c>
      <c r="Q572" s="8" t="s">
        <v>86</v>
      </c>
      <c r="R572" s="10" t="s">
        <v>1879</v>
      </c>
      <c r="S572" s="11" t="s">
        <v>3447</v>
      </c>
      <c r="T572" s="6"/>
      <c r="U572" s="28" t="str">
        <f>HYPERLINK("https://media.infra-m.ru/1906/1906068/cover/1906068.jpg", "Обложка")</f>
        <v>Обложка</v>
      </c>
      <c r="V572" s="28" t="str">
        <f>HYPERLINK("https://znanium.com/catalog/product/1008406", "Ознакомиться")</f>
        <v>Ознакомиться</v>
      </c>
      <c r="W572" s="8" t="s">
        <v>3448</v>
      </c>
      <c r="X572" s="6"/>
      <c r="Y572" s="6"/>
      <c r="Z572" s="6"/>
      <c r="AA572" s="6" t="s">
        <v>3449</v>
      </c>
    </row>
    <row r="573" spans="1:27" s="4" customFormat="1" ht="51.95" customHeight="1">
      <c r="A573" s="5">
        <v>0</v>
      </c>
      <c r="B573" s="6" t="s">
        <v>3450</v>
      </c>
      <c r="C573" s="7">
        <v>800</v>
      </c>
      <c r="D573" s="8" t="s">
        <v>3451</v>
      </c>
      <c r="E573" s="8" t="s">
        <v>3452</v>
      </c>
      <c r="F573" s="8" t="s">
        <v>3453</v>
      </c>
      <c r="G573" s="6" t="s">
        <v>63</v>
      </c>
      <c r="H573" s="6" t="s">
        <v>38</v>
      </c>
      <c r="I573" s="8"/>
      <c r="J573" s="9">
        <v>1</v>
      </c>
      <c r="K573" s="9">
        <v>176</v>
      </c>
      <c r="L573" s="9">
        <v>2022</v>
      </c>
      <c r="M573" s="8" t="s">
        <v>3454</v>
      </c>
      <c r="N573" s="8" t="s">
        <v>41</v>
      </c>
      <c r="O573" s="8" t="s">
        <v>42</v>
      </c>
      <c r="P573" s="6" t="s">
        <v>54</v>
      </c>
      <c r="Q573" s="8" t="s">
        <v>86</v>
      </c>
      <c r="R573" s="10" t="s">
        <v>1904</v>
      </c>
      <c r="S573" s="11" t="s">
        <v>3455</v>
      </c>
      <c r="T573" s="6"/>
      <c r="U573" s="28" t="str">
        <f>HYPERLINK("https://media.infra-m.ru/1949/1949065/cover/1949065.jpg", "Обложка")</f>
        <v>Обложка</v>
      </c>
      <c r="V573" s="28" t="str">
        <f>HYPERLINK("https://znanium.com/catalog/product/1911128", "Ознакомиться")</f>
        <v>Ознакомиться</v>
      </c>
      <c r="W573" s="8" t="s">
        <v>3456</v>
      </c>
      <c r="X573" s="6"/>
      <c r="Y573" s="6"/>
      <c r="Z573" s="6"/>
      <c r="AA573" s="6" t="s">
        <v>317</v>
      </c>
    </row>
    <row r="574" spans="1:27" s="4" customFormat="1" ht="51.95" customHeight="1">
      <c r="A574" s="5">
        <v>0</v>
      </c>
      <c r="B574" s="6" t="s">
        <v>3457</v>
      </c>
      <c r="C574" s="7">
        <v>974.9</v>
      </c>
      <c r="D574" s="8" t="s">
        <v>3458</v>
      </c>
      <c r="E574" s="8" t="s">
        <v>3459</v>
      </c>
      <c r="F574" s="8" t="s">
        <v>3460</v>
      </c>
      <c r="G574" s="6" t="s">
        <v>95</v>
      </c>
      <c r="H574" s="6" t="s">
        <v>329</v>
      </c>
      <c r="I574" s="8" t="s">
        <v>330</v>
      </c>
      <c r="J574" s="9">
        <v>1</v>
      </c>
      <c r="K574" s="9">
        <v>288</v>
      </c>
      <c r="L574" s="9">
        <v>2020</v>
      </c>
      <c r="M574" s="8" t="s">
        <v>3461</v>
      </c>
      <c r="N574" s="8" t="s">
        <v>41</v>
      </c>
      <c r="O574" s="8" t="s">
        <v>42</v>
      </c>
      <c r="P574" s="6" t="s">
        <v>54</v>
      </c>
      <c r="Q574" s="8" t="s">
        <v>194</v>
      </c>
      <c r="R574" s="10" t="s">
        <v>3462</v>
      </c>
      <c r="S574" s="11" t="s">
        <v>3463</v>
      </c>
      <c r="T574" s="6"/>
      <c r="U574" s="28" t="str">
        <f>HYPERLINK("https://media.infra-m.ru/1052/1052235/cover/1052235.jpg", "Обложка")</f>
        <v>Обложка</v>
      </c>
      <c r="V574" s="28" t="str">
        <f>HYPERLINK("https://znanium.com/catalog/product/1052235", "Ознакомиться")</f>
        <v>Ознакомиться</v>
      </c>
      <c r="W574" s="8" t="s">
        <v>1543</v>
      </c>
      <c r="X574" s="6"/>
      <c r="Y574" s="6"/>
      <c r="Z574" s="6"/>
      <c r="AA574" s="6" t="s">
        <v>3464</v>
      </c>
    </row>
    <row r="575" spans="1:27" s="4" customFormat="1" ht="42" customHeight="1">
      <c r="A575" s="5">
        <v>0</v>
      </c>
      <c r="B575" s="6" t="s">
        <v>3465</v>
      </c>
      <c r="C575" s="13">
        <v>1084.9000000000001</v>
      </c>
      <c r="D575" s="8" t="s">
        <v>3466</v>
      </c>
      <c r="E575" s="8" t="s">
        <v>3467</v>
      </c>
      <c r="F575" s="8" t="s">
        <v>3468</v>
      </c>
      <c r="G575" s="6" t="s">
        <v>95</v>
      </c>
      <c r="H575" s="6" t="s">
        <v>1459</v>
      </c>
      <c r="I575" s="8" t="s">
        <v>390</v>
      </c>
      <c r="J575" s="9">
        <v>1</v>
      </c>
      <c r="K575" s="9">
        <v>240</v>
      </c>
      <c r="L575" s="9">
        <v>2023</v>
      </c>
      <c r="M575" s="8" t="s">
        <v>3469</v>
      </c>
      <c r="N575" s="8" t="s">
        <v>41</v>
      </c>
      <c r="O575" s="8" t="s">
        <v>85</v>
      </c>
      <c r="P575" s="6" t="s">
        <v>54</v>
      </c>
      <c r="Q575" s="8" t="s">
        <v>86</v>
      </c>
      <c r="R575" s="10" t="s">
        <v>3470</v>
      </c>
      <c r="S575" s="11"/>
      <c r="T575" s="6"/>
      <c r="U575" s="28" t="str">
        <f>HYPERLINK("https://media.infra-m.ru/1911/1911182/cover/1911182.jpg", "Обложка")</f>
        <v>Обложка</v>
      </c>
      <c r="V575" s="28" t="str">
        <f>HYPERLINK("https://znanium.com/catalog/product/1003847", "Ознакомиться")</f>
        <v>Ознакомиться</v>
      </c>
      <c r="W575" s="8" t="s">
        <v>1454</v>
      </c>
      <c r="X575" s="6"/>
      <c r="Y575" s="6"/>
      <c r="Z575" s="6"/>
      <c r="AA575" s="6" t="s">
        <v>90</v>
      </c>
    </row>
    <row r="576" spans="1:27" s="4" customFormat="1" ht="42" customHeight="1">
      <c r="A576" s="5">
        <v>0</v>
      </c>
      <c r="B576" s="6" t="s">
        <v>3471</v>
      </c>
      <c r="C576" s="7">
        <v>534.9</v>
      </c>
      <c r="D576" s="8" t="s">
        <v>3472</v>
      </c>
      <c r="E576" s="8" t="s">
        <v>3473</v>
      </c>
      <c r="F576" s="8" t="s">
        <v>3474</v>
      </c>
      <c r="G576" s="6" t="s">
        <v>37</v>
      </c>
      <c r="H576" s="6" t="s">
        <v>64</v>
      </c>
      <c r="I576" s="8" t="s">
        <v>1592</v>
      </c>
      <c r="J576" s="9">
        <v>1</v>
      </c>
      <c r="K576" s="9">
        <v>152</v>
      </c>
      <c r="L576" s="9">
        <v>2020</v>
      </c>
      <c r="M576" s="8" t="s">
        <v>3475</v>
      </c>
      <c r="N576" s="8" t="s">
        <v>41</v>
      </c>
      <c r="O576" s="8" t="s">
        <v>42</v>
      </c>
      <c r="P576" s="6" t="s">
        <v>2439</v>
      </c>
      <c r="Q576" s="8" t="s">
        <v>44</v>
      </c>
      <c r="R576" s="10" t="s">
        <v>2288</v>
      </c>
      <c r="S576" s="11"/>
      <c r="T576" s="6"/>
      <c r="U576" s="28" t="str">
        <f>HYPERLINK("https://media.infra-m.ru/1047/1047149/cover/1047149.jpg", "Обложка")</f>
        <v>Обложка</v>
      </c>
      <c r="V576" s="28" t="str">
        <f>HYPERLINK("https://znanium.com/catalog/product/1047149", "Ознакомиться")</f>
        <v>Ознакомиться</v>
      </c>
      <c r="W576" s="8" t="s">
        <v>1180</v>
      </c>
      <c r="X576" s="6"/>
      <c r="Y576" s="6"/>
      <c r="Z576" s="6"/>
      <c r="AA576" s="6" t="s">
        <v>78</v>
      </c>
    </row>
    <row r="577" spans="1:27" s="4" customFormat="1" ht="51.95" customHeight="1">
      <c r="A577" s="5">
        <v>0</v>
      </c>
      <c r="B577" s="6" t="s">
        <v>3476</v>
      </c>
      <c r="C577" s="13">
        <v>1024.9000000000001</v>
      </c>
      <c r="D577" s="8" t="s">
        <v>3477</v>
      </c>
      <c r="E577" s="8" t="s">
        <v>3478</v>
      </c>
      <c r="F577" s="8" t="s">
        <v>3479</v>
      </c>
      <c r="G577" s="6" t="s">
        <v>95</v>
      </c>
      <c r="H577" s="6" t="s">
        <v>38</v>
      </c>
      <c r="I577" s="8" t="s">
        <v>65</v>
      </c>
      <c r="J577" s="9">
        <v>1</v>
      </c>
      <c r="K577" s="9">
        <v>299</v>
      </c>
      <c r="L577" s="9">
        <v>2020</v>
      </c>
      <c r="M577" s="8" t="s">
        <v>3480</v>
      </c>
      <c r="N577" s="8" t="s">
        <v>41</v>
      </c>
      <c r="O577" s="8" t="s">
        <v>42</v>
      </c>
      <c r="P577" s="6" t="s">
        <v>54</v>
      </c>
      <c r="Q577" s="8" t="s">
        <v>86</v>
      </c>
      <c r="R577" s="10" t="s">
        <v>3481</v>
      </c>
      <c r="S577" s="11"/>
      <c r="T577" s="6"/>
      <c r="U577" s="28" t="str">
        <f>HYPERLINK("https://media.infra-m.ru/1036/1036581/cover/1036581.jpg", "Обложка")</f>
        <v>Обложка</v>
      </c>
      <c r="V577" s="28" t="str">
        <f>HYPERLINK("https://znanium.com/catalog/product/1036581", "Ознакомиться")</f>
        <v>Ознакомиться</v>
      </c>
      <c r="W577" s="8" t="s">
        <v>1335</v>
      </c>
      <c r="X577" s="6"/>
      <c r="Y577" s="6"/>
      <c r="Z577" s="6"/>
      <c r="AA577" s="6" t="s">
        <v>251</v>
      </c>
    </row>
    <row r="578" spans="1:27" s="4" customFormat="1" ht="51.95" customHeight="1">
      <c r="A578" s="5">
        <v>0</v>
      </c>
      <c r="B578" s="6" t="s">
        <v>3482</v>
      </c>
      <c r="C578" s="13">
        <v>1874</v>
      </c>
      <c r="D578" s="8" t="s">
        <v>3483</v>
      </c>
      <c r="E578" s="8" t="s">
        <v>3484</v>
      </c>
      <c r="F578" s="8" t="s">
        <v>3485</v>
      </c>
      <c r="G578" s="6" t="s">
        <v>95</v>
      </c>
      <c r="H578" s="6" t="s">
        <v>64</v>
      </c>
      <c r="I578" s="8" t="s">
        <v>83</v>
      </c>
      <c r="J578" s="9">
        <v>1</v>
      </c>
      <c r="K578" s="9">
        <v>408</v>
      </c>
      <c r="L578" s="9">
        <v>2024</v>
      </c>
      <c r="M578" s="8" t="s">
        <v>3486</v>
      </c>
      <c r="N578" s="8" t="s">
        <v>1859</v>
      </c>
      <c r="O578" s="8" t="s">
        <v>1860</v>
      </c>
      <c r="P578" s="6" t="s">
        <v>54</v>
      </c>
      <c r="Q578" s="8" t="s">
        <v>86</v>
      </c>
      <c r="R578" s="10" t="s">
        <v>3487</v>
      </c>
      <c r="S578" s="11" t="s">
        <v>1794</v>
      </c>
      <c r="T578" s="6"/>
      <c r="U578" s="28" t="str">
        <f>HYPERLINK("https://media.infra-m.ru/2053/2053237/cover/2053237.jpg", "Обложка")</f>
        <v>Обложка</v>
      </c>
      <c r="V578" s="28" t="str">
        <f>HYPERLINK("https://znanium.com/catalog/product/1228806", "Ознакомиться")</f>
        <v>Ознакомиться</v>
      </c>
      <c r="W578" s="8" t="s">
        <v>1543</v>
      </c>
      <c r="X578" s="6"/>
      <c r="Y578" s="6"/>
      <c r="Z578" s="6"/>
      <c r="AA578" s="6" t="s">
        <v>1894</v>
      </c>
    </row>
    <row r="579" spans="1:27" s="4" customFormat="1" ht="42" customHeight="1">
      <c r="A579" s="5">
        <v>0</v>
      </c>
      <c r="B579" s="6" t="s">
        <v>3488</v>
      </c>
      <c r="C579" s="13">
        <v>1200</v>
      </c>
      <c r="D579" s="8" t="s">
        <v>3489</v>
      </c>
      <c r="E579" s="8" t="s">
        <v>3490</v>
      </c>
      <c r="F579" s="8" t="s">
        <v>3491</v>
      </c>
      <c r="G579" s="6" t="s">
        <v>63</v>
      </c>
      <c r="H579" s="6" t="s">
        <v>38</v>
      </c>
      <c r="I579" s="8" t="s">
        <v>185</v>
      </c>
      <c r="J579" s="9">
        <v>1</v>
      </c>
      <c r="K579" s="9">
        <v>267</v>
      </c>
      <c r="L579" s="9">
        <v>2023</v>
      </c>
      <c r="M579" s="8" t="s">
        <v>3492</v>
      </c>
      <c r="N579" s="8" t="s">
        <v>41</v>
      </c>
      <c r="O579" s="8" t="s">
        <v>97</v>
      </c>
      <c r="P579" s="6" t="s">
        <v>54</v>
      </c>
      <c r="Q579" s="8" t="s">
        <v>134</v>
      </c>
      <c r="R579" s="10" t="s">
        <v>3493</v>
      </c>
      <c r="S579" s="11"/>
      <c r="T579" s="6"/>
      <c r="U579" s="28" t="str">
        <f>HYPERLINK("https://media.infra-m.ru/1939/1939084/cover/1939084.jpg", "Обложка")</f>
        <v>Обложка</v>
      </c>
      <c r="V579" s="28" t="str">
        <f>HYPERLINK("https://znanium.com/catalog/product/1939084", "Ознакомиться")</f>
        <v>Ознакомиться</v>
      </c>
      <c r="W579" s="8" t="s">
        <v>1291</v>
      </c>
      <c r="X579" s="6"/>
      <c r="Y579" s="6"/>
      <c r="Z579" s="6"/>
      <c r="AA579" s="6" t="s">
        <v>71</v>
      </c>
    </row>
    <row r="580" spans="1:27" s="4" customFormat="1" ht="51.95" customHeight="1">
      <c r="A580" s="5">
        <v>0</v>
      </c>
      <c r="B580" s="6" t="s">
        <v>3494</v>
      </c>
      <c r="C580" s="13">
        <v>1444.9</v>
      </c>
      <c r="D580" s="8" t="s">
        <v>3495</v>
      </c>
      <c r="E580" s="8" t="s">
        <v>3496</v>
      </c>
      <c r="F580" s="8" t="s">
        <v>3497</v>
      </c>
      <c r="G580" s="6" t="s">
        <v>95</v>
      </c>
      <c r="H580" s="6" t="s">
        <v>64</v>
      </c>
      <c r="I580" s="8" t="s">
        <v>39</v>
      </c>
      <c r="J580" s="9">
        <v>1</v>
      </c>
      <c r="K580" s="9">
        <v>320</v>
      </c>
      <c r="L580" s="9">
        <v>2023</v>
      </c>
      <c r="M580" s="8" t="s">
        <v>3498</v>
      </c>
      <c r="N580" s="8" t="s">
        <v>41</v>
      </c>
      <c r="O580" s="8" t="s">
        <v>97</v>
      </c>
      <c r="P580" s="6" t="s">
        <v>43</v>
      </c>
      <c r="Q580" s="8" t="s">
        <v>44</v>
      </c>
      <c r="R580" s="10" t="s">
        <v>172</v>
      </c>
      <c r="S580" s="11"/>
      <c r="T580" s="6"/>
      <c r="U580" s="28" t="str">
        <f>HYPERLINK("https://media.infra-m.ru/1974/1974342/cover/1974342.jpg", "Обложка")</f>
        <v>Обложка</v>
      </c>
      <c r="V580" s="28" t="str">
        <f>HYPERLINK("https://znanium.com/catalog/product/1085273", "Ознакомиться")</f>
        <v>Ознакомиться</v>
      </c>
      <c r="W580" s="8" t="s">
        <v>1537</v>
      </c>
      <c r="X580" s="6"/>
      <c r="Y580" s="6"/>
      <c r="Z580" s="6"/>
      <c r="AA580" s="6" t="s">
        <v>381</v>
      </c>
    </row>
    <row r="581" spans="1:27" s="4" customFormat="1" ht="51.95" customHeight="1">
      <c r="A581" s="5">
        <v>0</v>
      </c>
      <c r="B581" s="6" t="s">
        <v>3499</v>
      </c>
      <c r="C581" s="7">
        <v>454.9</v>
      </c>
      <c r="D581" s="8" t="s">
        <v>3500</v>
      </c>
      <c r="E581" s="8" t="s">
        <v>3501</v>
      </c>
      <c r="F581" s="8" t="s">
        <v>3353</v>
      </c>
      <c r="G581" s="6" t="s">
        <v>95</v>
      </c>
      <c r="H581" s="6" t="s">
        <v>64</v>
      </c>
      <c r="I581" s="8" t="s">
        <v>83</v>
      </c>
      <c r="J581" s="9">
        <v>1</v>
      </c>
      <c r="K581" s="9">
        <v>135</v>
      </c>
      <c r="L581" s="9">
        <v>2020</v>
      </c>
      <c r="M581" s="8" t="s">
        <v>3502</v>
      </c>
      <c r="N581" s="8" t="s">
        <v>41</v>
      </c>
      <c r="O581" s="8" t="s">
        <v>97</v>
      </c>
      <c r="P581" s="6" t="s">
        <v>54</v>
      </c>
      <c r="Q581" s="8" t="s">
        <v>86</v>
      </c>
      <c r="R581" s="10" t="s">
        <v>1096</v>
      </c>
      <c r="S581" s="11" t="s">
        <v>3503</v>
      </c>
      <c r="T581" s="6"/>
      <c r="U581" s="28" t="str">
        <f>HYPERLINK("https://media.infra-m.ru/1045/1045806/cover/1045806.jpg", "Обложка")</f>
        <v>Обложка</v>
      </c>
      <c r="V581" s="28" t="str">
        <f>HYPERLINK("https://znanium.com/catalog/product/914116", "Ознакомиться")</f>
        <v>Ознакомиться</v>
      </c>
      <c r="W581" s="8" t="s">
        <v>1198</v>
      </c>
      <c r="X581" s="6"/>
      <c r="Y581" s="6"/>
      <c r="Z581" s="6"/>
      <c r="AA581" s="6" t="s">
        <v>206</v>
      </c>
    </row>
    <row r="582" spans="1:27" s="4" customFormat="1" ht="51.95" customHeight="1">
      <c r="A582" s="5">
        <v>0</v>
      </c>
      <c r="B582" s="6" t="s">
        <v>3504</v>
      </c>
      <c r="C582" s="7">
        <v>430</v>
      </c>
      <c r="D582" s="8" t="s">
        <v>3505</v>
      </c>
      <c r="E582" s="8" t="s">
        <v>3501</v>
      </c>
      <c r="F582" s="8" t="s">
        <v>3353</v>
      </c>
      <c r="G582" s="6" t="s">
        <v>95</v>
      </c>
      <c r="H582" s="6" t="s">
        <v>64</v>
      </c>
      <c r="I582" s="8" t="s">
        <v>192</v>
      </c>
      <c r="J582" s="9">
        <v>1</v>
      </c>
      <c r="K582" s="9">
        <v>135</v>
      </c>
      <c r="L582" s="9">
        <v>2019</v>
      </c>
      <c r="M582" s="8" t="s">
        <v>3506</v>
      </c>
      <c r="N582" s="8" t="s">
        <v>41</v>
      </c>
      <c r="O582" s="8" t="s">
        <v>97</v>
      </c>
      <c r="P582" s="6" t="s">
        <v>54</v>
      </c>
      <c r="Q582" s="8" t="s">
        <v>194</v>
      </c>
      <c r="R582" s="10" t="s">
        <v>3507</v>
      </c>
      <c r="S582" s="11" t="s">
        <v>3508</v>
      </c>
      <c r="T582" s="6"/>
      <c r="U582" s="28" t="str">
        <f>HYPERLINK("https://media.infra-m.ru/1029/1029651/cover/1029651.jpg", "Обложка")</f>
        <v>Обложка</v>
      </c>
      <c r="V582" s="28" t="str">
        <f>HYPERLINK("https://znanium.com/catalog/product/1029651", "Ознакомиться")</f>
        <v>Ознакомиться</v>
      </c>
      <c r="W582" s="8" t="s">
        <v>1198</v>
      </c>
      <c r="X582" s="6"/>
      <c r="Y582" s="6"/>
      <c r="Z582" s="6" t="s">
        <v>197</v>
      </c>
      <c r="AA582" s="6" t="s">
        <v>166</v>
      </c>
    </row>
    <row r="583" spans="1:27" s="4" customFormat="1" ht="42" customHeight="1">
      <c r="A583" s="5">
        <v>0</v>
      </c>
      <c r="B583" s="6" t="s">
        <v>3509</v>
      </c>
      <c r="C583" s="7">
        <v>600</v>
      </c>
      <c r="D583" s="8" t="s">
        <v>3510</v>
      </c>
      <c r="E583" s="8" t="s">
        <v>3511</v>
      </c>
      <c r="F583" s="8" t="s">
        <v>3512</v>
      </c>
      <c r="G583" s="6" t="s">
        <v>37</v>
      </c>
      <c r="H583" s="6" t="s">
        <v>64</v>
      </c>
      <c r="I583" s="8" t="s">
        <v>39</v>
      </c>
      <c r="J583" s="9">
        <v>1</v>
      </c>
      <c r="K583" s="9">
        <v>151</v>
      </c>
      <c r="L583" s="9">
        <v>2020</v>
      </c>
      <c r="M583" s="8" t="s">
        <v>3513</v>
      </c>
      <c r="N583" s="8" t="s">
        <v>41</v>
      </c>
      <c r="O583" s="8" t="s">
        <v>85</v>
      </c>
      <c r="P583" s="6" t="s">
        <v>43</v>
      </c>
      <c r="Q583" s="8" t="s">
        <v>44</v>
      </c>
      <c r="R583" s="10" t="s">
        <v>852</v>
      </c>
      <c r="S583" s="11"/>
      <c r="T583" s="6"/>
      <c r="U583" s="28" t="str">
        <f>HYPERLINK("https://media.infra-m.ru/1094/1094558/cover/1094558.jpg", "Обложка")</f>
        <v>Обложка</v>
      </c>
      <c r="V583" s="28" t="str">
        <f>HYPERLINK("https://znanium.com/catalog/product/1094558", "Ознакомиться")</f>
        <v>Ознакомиться</v>
      </c>
      <c r="W583" s="8" t="s">
        <v>110</v>
      </c>
      <c r="X583" s="6"/>
      <c r="Y583" s="6"/>
      <c r="Z583" s="6"/>
      <c r="AA583" s="6" t="s">
        <v>78</v>
      </c>
    </row>
    <row r="584" spans="1:27" s="4" customFormat="1" ht="44.1" customHeight="1">
      <c r="A584" s="5">
        <v>0</v>
      </c>
      <c r="B584" s="6" t="s">
        <v>3514</v>
      </c>
      <c r="C584" s="7">
        <v>880</v>
      </c>
      <c r="D584" s="8" t="s">
        <v>3515</v>
      </c>
      <c r="E584" s="8" t="s">
        <v>3516</v>
      </c>
      <c r="F584" s="8" t="s">
        <v>3517</v>
      </c>
      <c r="G584" s="6" t="s">
        <v>63</v>
      </c>
      <c r="H584" s="6" t="s">
        <v>64</v>
      </c>
      <c r="I584" s="8" t="s">
        <v>39</v>
      </c>
      <c r="J584" s="9">
        <v>1</v>
      </c>
      <c r="K584" s="9">
        <v>258</v>
      </c>
      <c r="L584" s="9">
        <v>2019</v>
      </c>
      <c r="M584" s="8" t="s">
        <v>3518</v>
      </c>
      <c r="N584" s="8" t="s">
        <v>41</v>
      </c>
      <c r="O584" s="8" t="s">
        <v>97</v>
      </c>
      <c r="P584" s="6" t="s">
        <v>43</v>
      </c>
      <c r="Q584" s="8" t="s">
        <v>44</v>
      </c>
      <c r="R584" s="10" t="s">
        <v>3519</v>
      </c>
      <c r="S584" s="11"/>
      <c r="T584" s="6"/>
      <c r="U584" s="28" t="str">
        <f>HYPERLINK("https://media.infra-m.ru/1034/1034139/cover/1034139.jpg", "Обложка")</f>
        <v>Обложка</v>
      </c>
      <c r="V584" s="28" t="str">
        <f>HYPERLINK("https://znanium.com/catalog/product/1034139", "Ознакомиться")</f>
        <v>Ознакомиться</v>
      </c>
      <c r="W584" s="8" t="s">
        <v>3520</v>
      </c>
      <c r="X584" s="6"/>
      <c r="Y584" s="6"/>
      <c r="Z584" s="6"/>
      <c r="AA584" s="6" t="s">
        <v>78</v>
      </c>
    </row>
    <row r="585" spans="1:27" s="4" customFormat="1" ht="51.95" customHeight="1">
      <c r="A585" s="5">
        <v>0</v>
      </c>
      <c r="B585" s="6" t="s">
        <v>3521</v>
      </c>
      <c r="C585" s="13">
        <v>1454.9</v>
      </c>
      <c r="D585" s="8" t="s">
        <v>3522</v>
      </c>
      <c r="E585" s="8" t="s">
        <v>3523</v>
      </c>
      <c r="F585" s="8" t="s">
        <v>3524</v>
      </c>
      <c r="G585" s="6" t="s">
        <v>95</v>
      </c>
      <c r="H585" s="6" t="s">
        <v>357</v>
      </c>
      <c r="I585" s="8" t="s">
        <v>83</v>
      </c>
      <c r="J585" s="9">
        <v>1</v>
      </c>
      <c r="K585" s="9">
        <v>384</v>
      </c>
      <c r="L585" s="9">
        <v>2022</v>
      </c>
      <c r="M585" s="8" t="s">
        <v>3525</v>
      </c>
      <c r="N585" s="8" t="s">
        <v>41</v>
      </c>
      <c r="O585" s="8" t="s">
        <v>97</v>
      </c>
      <c r="P585" s="6" t="s">
        <v>54</v>
      </c>
      <c r="Q585" s="8" t="s">
        <v>86</v>
      </c>
      <c r="R585" s="10" t="s">
        <v>3519</v>
      </c>
      <c r="S585" s="11" t="s">
        <v>483</v>
      </c>
      <c r="T585" s="6"/>
      <c r="U585" s="28" t="str">
        <f>HYPERLINK("https://media.infra-m.ru/1861/1861792/cover/1861792.jpg", "Обложка")</f>
        <v>Обложка</v>
      </c>
      <c r="V585" s="28" t="str">
        <f>HYPERLINK("https://znanium.com/catalog/product/1945432", "Ознакомиться")</f>
        <v>Ознакомиться</v>
      </c>
      <c r="W585" s="8" t="s">
        <v>1575</v>
      </c>
      <c r="X585" s="6"/>
      <c r="Y585" s="6"/>
      <c r="Z585" s="6"/>
      <c r="AA585" s="6" t="s">
        <v>78</v>
      </c>
    </row>
    <row r="586" spans="1:27" s="4" customFormat="1" ht="51.95" customHeight="1">
      <c r="A586" s="5">
        <v>0</v>
      </c>
      <c r="B586" s="6" t="s">
        <v>3526</v>
      </c>
      <c r="C586" s="7">
        <v>820</v>
      </c>
      <c r="D586" s="8" t="s">
        <v>3527</v>
      </c>
      <c r="E586" s="8" t="s">
        <v>3528</v>
      </c>
      <c r="F586" s="8" t="s">
        <v>3529</v>
      </c>
      <c r="G586" s="6" t="s">
        <v>63</v>
      </c>
      <c r="H586" s="6" t="s">
        <v>64</v>
      </c>
      <c r="I586" s="8" t="s">
        <v>132</v>
      </c>
      <c r="J586" s="9">
        <v>1</v>
      </c>
      <c r="K586" s="9">
        <v>168</v>
      </c>
      <c r="L586" s="9">
        <v>2023</v>
      </c>
      <c r="M586" s="8" t="s">
        <v>3530</v>
      </c>
      <c r="N586" s="8" t="s">
        <v>41</v>
      </c>
      <c r="O586" s="8" t="s">
        <v>97</v>
      </c>
      <c r="P586" s="6" t="s">
        <v>54</v>
      </c>
      <c r="Q586" s="8" t="s">
        <v>86</v>
      </c>
      <c r="R586" s="10" t="s">
        <v>142</v>
      </c>
      <c r="S586" s="11" t="s">
        <v>3531</v>
      </c>
      <c r="T586" s="6"/>
      <c r="U586" s="28" t="str">
        <f>HYPERLINK("https://media.infra-m.ru/2049/2049699/cover/2049699.jpg", "Обложка")</f>
        <v>Обложка</v>
      </c>
      <c r="V586" s="28" t="str">
        <f>HYPERLINK("https://znanium.com/catalog/product/2049699", "Ознакомиться")</f>
        <v>Ознакомиться</v>
      </c>
      <c r="W586" s="8" t="s">
        <v>3532</v>
      </c>
      <c r="X586" s="6"/>
      <c r="Y586" s="6"/>
      <c r="Z586" s="6"/>
      <c r="AA586" s="6" t="s">
        <v>401</v>
      </c>
    </row>
    <row r="587" spans="1:27" s="4" customFormat="1" ht="51.95" customHeight="1">
      <c r="A587" s="5">
        <v>0</v>
      </c>
      <c r="B587" s="6" t="s">
        <v>3533</v>
      </c>
      <c r="C587" s="13">
        <v>1394.9</v>
      </c>
      <c r="D587" s="8" t="s">
        <v>3534</v>
      </c>
      <c r="E587" s="8" t="s">
        <v>3535</v>
      </c>
      <c r="F587" s="8" t="s">
        <v>3536</v>
      </c>
      <c r="G587" s="6" t="s">
        <v>95</v>
      </c>
      <c r="H587" s="6" t="s">
        <v>64</v>
      </c>
      <c r="I587" s="8" t="s">
        <v>83</v>
      </c>
      <c r="J587" s="9">
        <v>1</v>
      </c>
      <c r="K587" s="9">
        <v>366</v>
      </c>
      <c r="L587" s="9">
        <v>2022</v>
      </c>
      <c r="M587" s="8" t="s">
        <v>3537</v>
      </c>
      <c r="N587" s="8" t="s">
        <v>41</v>
      </c>
      <c r="O587" s="8" t="s">
        <v>97</v>
      </c>
      <c r="P587" s="6" t="s">
        <v>54</v>
      </c>
      <c r="Q587" s="8" t="s">
        <v>86</v>
      </c>
      <c r="R587" s="10" t="s">
        <v>227</v>
      </c>
      <c r="S587" s="11" t="s">
        <v>3538</v>
      </c>
      <c r="T587" s="6"/>
      <c r="U587" s="28" t="str">
        <f>HYPERLINK("https://media.infra-m.ru/1851/1851328/cover/1851328.jpg", "Обложка")</f>
        <v>Обложка</v>
      </c>
      <c r="V587" s="28" t="str">
        <f>HYPERLINK("https://znanium.com/catalog/product/1851328", "Ознакомиться")</f>
        <v>Ознакомиться</v>
      </c>
      <c r="W587" s="8" t="s">
        <v>110</v>
      </c>
      <c r="X587" s="6"/>
      <c r="Y587" s="6"/>
      <c r="Z587" s="6"/>
      <c r="AA587" s="6" t="s">
        <v>251</v>
      </c>
    </row>
    <row r="588" spans="1:27" s="4" customFormat="1" ht="51.95" customHeight="1">
      <c r="A588" s="5">
        <v>0</v>
      </c>
      <c r="B588" s="6" t="s">
        <v>3539</v>
      </c>
      <c r="C588" s="13">
        <v>1130</v>
      </c>
      <c r="D588" s="8" t="s">
        <v>3540</v>
      </c>
      <c r="E588" s="8" t="s">
        <v>3541</v>
      </c>
      <c r="F588" s="8" t="s">
        <v>3529</v>
      </c>
      <c r="G588" s="6" t="s">
        <v>63</v>
      </c>
      <c r="H588" s="6" t="s">
        <v>64</v>
      </c>
      <c r="I588" s="8" t="s">
        <v>132</v>
      </c>
      <c r="J588" s="9">
        <v>1</v>
      </c>
      <c r="K588" s="9">
        <v>245</v>
      </c>
      <c r="L588" s="9">
        <v>2024</v>
      </c>
      <c r="M588" s="8" t="s">
        <v>3542</v>
      </c>
      <c r="N588" s="8" t="s">
        <v>41</v>
      </c>
      <c r="O588" s="8" t="s">
        <v>97</v>
      </c>
      <c r="P588" s="6" t="s">
        <v>54</v>
      </c>
      <c r="Q588" s="8" t="s">
        <v>86</v>
      </c>
      <c r="R588" s="10" t="s">
        <v>373</v>
      </c>
      <c r="S588" s="11" t="s">
        <v>3543</v>
      </c>
      <c r="T588" s="6"/>
      <c r="U588" s="28" t="str">
        <f>HYPERLINK("https://media.infra-m.ru/2079/2079323/cover/2079323.jpg", "Обложка")</f>
        <v>Обложка</v>
      </c>
      <c r="V588" s="28" t="str">
        <f>HYPERLINK("https://znanium.com/catalog/product/2079323", "Ознакомиться")</f>
        <v>Ознакомиться</v>
      </c>
      <c r="W588" s="8" t="s">
        <v>3532</v>
      </c>
      <c r="X588" s="6"/>
      <c r="Y588" s="6"/>
      <c r="Z588" s="6"/>
      <c r="AA588" s="6" t="s">
        <v>401</v>
      </c>
    </row>
    <row r="589" spans="1:27" s="4" customFormat="1" ht="44.1" customHeight="1">
      <c r="A589" s="5">
        <v>0</v>
      </c>
      <c r="B589" s="6" t="s">
        <v>3544</v>
      </c>
      <c r="C589" s="13">
        <v>1700</v>
      </c>
      <c r="D589" s="8" t="s">
        <v>3545</v>
      </c>
      <c r="E589" s="8" t="s">
        <v>3546</v>
      </c>
      <c r="F589" s="8" t="s">
        <v>116</v>
      </c>
      <c r="G589" s="6" t="s">
        <v>95</v>
      </c>
      <c r="H589" s="6" t="s">
        <v>64</v>
      </c>
      <c r="I589" s="8" t="s">
        <v>185</v>
      </c>
      <c r="J589" s="9">
        <v>1</v>
      </c>
      <c r="K589" s="9">
        <v>372</v>
      </c>
      <c r="L589" s="9">
        <v>2023</v>
      </c>
      <c r="M589" s="8" t="s">
        <v>3547</v>
      </c>
      <c r="N589" s="8" t="s">
        <v>41</v>
      </c>
      <c r="O589" s="8" t="s">
        <v>97</v>
      </c>
      <c r="P589" s="6" t="s">
        <v>67</v>
      </c>
      <c r="Q589" s="8" t="s">
        <v>86</v>
      </c>
      <c r="R589" s="10" t="s">
        <v>1793</v>
      </c>
      <c r="S589" s="11"/>
      <c r="T589" s="6" t="s">
        <v>144</v>
      </c>
      <c r="U589" s="28" t="str">
        <f>HYPERLINK("https://media.infra-m.ru/1977/1977992/cover/1977992.jpg", "Обложка")</f>
        <v>Обложка</v>
      </c>
      <c r="V589" s="28" t="str">
        <f>HYPERLINK("https://znanium.com/catalog/product/1977992", "Ознакомиться")</f>
        <v>Ознакомиться</v>
      </c>
      <c r="W589" s="8" t="s">
        <v>120</v>
      </c>
      <c r="X589" s="6" t="s">
        <v>311</v>
      </c>
      <c r="Y589" s="6"/>
      <c r="Z589" s="6"/>
      <c r="AA589" s="6" t="s">
        <v>342</v>
      </c>
    </row>
    <row r="590" spans="1:27" s="4" customFormat="1" ht="51.95" customHeight="1">
      <c r="A590" s="5">
        <v>0</v>
      </c>
      <c r="B590" s="6" t="s">
        <v>3548</v>
      </c>
      <c r="C590" s="13">
        <v>1400</v>
      </c>
      <c r="D590" s="8" t="s">
        <v>3549</v>
      </c>
      <c r="E590" s="8" t="s">
        <v>3550</v>
      </c>
      <c r="F590" s="8" t="s">
        <v>116</v>
      </c>
      <c r="G590" s="6" t="s">
        <v>63</v>
      </c>
      <c r="H590" s="6" t="s">
        <v>64</v>
      </c>
      <c r="I590" s="8" t="s">
        <v>83</v>
      </c>
      <c r="J590" s="9">
        <v>1</v>
      </c>
      <c r="K590" s="9">
        <v>368</v>
      </c>
      <c r="L590" s="9">
        <v>2022</v>
      </c>
      <c r="M590" s="8" t="s">
        <v>3551</v>
      </c>
      <c r="N590" s="8" t="s">
        <v>41</v>
      </c>
      <c r="O590" s="8" t="s">
        <v>97</v>
      </c>
      <c r="P590" s="6" t="s">
        <v>67</v>
      </c>
      <c r="Q590" s="8" t="s">
        <v>86</v>
      </c>
      <c r="R590" s="10" t="s">
        <v>1793</v>
      </c>
      <c r="S590" s="11" t="s">
        <v>143</v>
      </c>
      <c r="T590" s="6" t="s">
        <v>144</v>
      </c>
      <c r="U590" s="28" t="str">
        <f>HYPERLINK("https://media.infra-m.ru/1862/1862635/cover/1862635.jpg", "Обложка")</f>
        <v>Обложка</v>
      </c>
      <c r="V590" s="28" t="str">
        <f>HYPERLINK("https://znanium.com/catalog/product/1977992", "Ознакомиться")</f>
        <v>Ознакомиться</v>
      </c>
      <c r="W590" s="8" t="s">
        <v>120</v>
      </c>
      <c r="X590" s="6"/>
      <c r="Y590" s="6"/>
      <c r="Z590" s="6"/>
      <c r="AA590" s="6" t="s">
        <v>244</v>
      </c>
    </row>
    <row r="591" spans="1:27" s="4" customFormat="1" ht="44.1" customHeight="1">
      <c r="A591" s="5">
        <v>0</v>
      </c>
      <c r="B591" s="6" t="s">
        <v>3552</v>
      </c>
      <c r="C591" s="13">
        <v>1184.9000000000001</v>
      </c>
      <c r="D591" s="8" t="s">
        <v>3553</v>
      </c>
      <c r="E591" s="8" t="s">
        <v>3554</v>
      </c>
      <c r="F591" s="8" t="s">
        <v>116</v>
      </c>
      <c r="G591" s="6" t="s">
        <v>95</v>
      </c>
      <c r="H591" s="6" t="s">
        <v>125</v>
      </c>
      <c r="I591" s="8"/>
      <c r="J591" s="9">
        <v>1</v>
      </c>
      <c r="K591" s="9">
        <v>368</v>
      </c>
      <c r="L591" s="9">
        <v>2019</v>
      </c>
      <c r="M591" s="8" t="s">
        <v>3555</v>
      </c>
      <c r="N591" s="8" t="s">
        <v>41</v>
      </c>
      <c r="O591" s="8" t="s">
        <v>97</v>
      </c>
      <c r="P591" s="6" t="s">
        <v>67</v>
      </c>
      <c r="Q591" s="8" t="s">
        <v>86</v>
      </c>
      <c r="R591" s="10" t="s">
        <v>1793</v>
      </c>
      <c r="S591" s="11"/>
      <c r="T591" s="6" t="s">
        <v>144</v>
      </c>
      <c r="U591" s="28" t="str">
        <f>HYPERLINK("https://media.infra-m.ru/0987/0987736/cover/987736.jpg", "Обложка")</f>
        <v>Обложка</v>
      </c>
      <c r="V591" s="28" t="str">
        <f>HYPERLINK("https://znanium.com/catalog/product/1977992", "Ознакомиться")</f>
        <v>Ознакомиться</v>
      </c>
      <c r="W591" s="8" t="s">
        <v>120</v>
      </c>
      <c r="X591" s="6"/>
      <c r="Y591" s="6"/>
      <c r="Z591" s="6"/>
      <c r="AA591" s="6" t="s">
        <v>78</v>
      </c>
    </row>
    <row r="592" spans="1:27" s="4" customFormat="1" ht="51.95" customHeight="1">
      <c r="A592" s="5">
        <v>0</v>
      </c>
      <c r="B592" s="6" t="s">
        <v>3556</v>
      </c>
      <c r="C592" s="7">
        <v>590</v>
      </c>
      <c r="D592" s="8" t="s">
        <v>3557</v>
      </c>
      <c r="E592" s="8" t="s">
        <v>3558</v>
      </c>
      <c r="F592" s="8" t="s">
        <v>3559</v>
      </c>
      <c r="G592" s="6" t="s">
        <v>37</v>
      </c>
      <c r="H592" s="6" t="s">
        <v>64</v>
      </c>
      <c r="I592" s="8" t="s">
        <v>3560</v>
      </c>
      <c r="J592" s="9">
        <v>1</v>
      </c>
      <c r="K592" s="9">
        <v>90</v>
      </c>
      <c r="L592" s="9">
        <v>2023</v>
      </c>
      <c r="M592" s="8" t="s">
        <v>3561</v>
      </c>
      <c r="N592" s="8" t="s">
        <v>41</v>
      </c>
      <c r="O592" s="8" t="s">
        <v>97</v>
      </c>
      <c r="P592" s="6" t="s">
        <v>54</v>
      </c>
      <c r="Q592" s="8" t="s">
        <v>55</v>
      </c>
      <c r="R592" s="10" t="s">
        <v>422</v>
      </c>
      <c r="S592" s="11" t="s">
        <v>3562</v>
      </c>
      <c r="T592" s="6"/>
      <c r="U592" s="28" t="str">
        <f>HYPERLINK("https://media.infra-m.ru/1910/1910848/cover/1910848.jpg", "Обложка")</f>
        <v>Обложка</v>
      </c>
      <c r="V592" s="12"/>
      <c r="W592" s="8"/>
      <c r="X592" s="6" t="s">
        <v>3563</v>
      </c>
      <c r="Y592" s="6"/>
      <c r="Z592" s="6"/>
      <c r="AA592" s="6" t="s">
        <v>112</v>
      </c>
    </row>
    <row r="593" spans="1:27" s="4" customFormat="1" ht="51.95" customHeight="1">
      <c r="A593" s="5">
        <v>0</v>
      </c>
      <c r="B593" s="6" t="s">
        <v>3564</v>
      </c>
      <c r="C593" s="7">
        <v>870</v>
      </c>
      <c r="D593" s="8" t="s">
        <v>3565</v>
      </c>
      <c r="E593" s="8" t="s">
        <v>3566</v>
      </c>
      <c r="F593" s="8" t="s">
        <v>3567</v>
      </c>
      <c r="G593" s="6" t="s">
        <v>37</v>
      </c>
      <c r="H593" s="6" t="s">
        <v>357</v>
      </c>
      <c r="I593" s="8" t="s">
        <v>83</v>
      </c>
      <c r="J593" s="9">
        <v>1</v>
      </c>
      <c r="K593" s="9">
        <v>192</v>
      </c>
      <c r="L593" s="9">
        <v>2022</v>
      </c>
      <c r="M593" s="8" t="s">
        <v>3568</v>
      </c>
      <c r="N593" s="8" t="s">
        <v>41</v>
      </c>
      <c r="O593" s="8" t="s">
        <v>85</v>
      </c>
      <c r="P593" s="6" t="s">
        <v>54</v>
      </c>
      <c r="Q593" s="8" t="s">
        <v>86</v>
      </c>
      <c r="R593" s="10" t="s">
        <v>142</v>
      </c>
      <c r="S593" s="11" t="s">
        <v>3569</v>
      </c>
      <c r="T593" s="6"/>
      <c r="U593" s="28" t="str">
        <f>HYPERLINK("https://media.infra-m.ru/1947/1947347/cover/1947347.jpg", "Обложка")</f>
        <v>Обложка</v>
      </c>
      <c r="V593" s="28" t="str">
        <f>HYPERLINK("https://znanium.com/catalog/product/1947347", "Ознакомиться")</f>
        <v>Ознакомиться</v>
      </c>
      <c r="W593" s="8" t="s">
        <v>110</v>
      </c>
      <c r="X593" s="6"/>
      <c r="Y593" s="6"/>
      <c r="Z593" s="6"/>
      <c r="AA593" s="6" t="s">
        <v>90</v>
      </c>
    </row>
    <row r="594" spans="1:27" s="4" customFormat="1" ht="51.95" customHeight="1">
      <c r="A594" s="5">
        <v>0</v>
      </c>
      <c r="B594" s="6" t="s">
        <v>3570</v>
      </c>
      <c r="C594" s="7">
        <v>704.9</v>
      </c>
      <c r="D594" s="8" t="s">
        <v>3571</v>
      </c>
      <c r="E594" s="8" t="s">
        <v>3572</v>
      </c>
      <c r="F594" s="8" t="s">
        <v>3573</v>
      </c>
      <c r="G594" s="6" t="s">
        <v>63</v>
      </c>
      <c r="H594" s="6" t="s">
        <v>64</v>
      </c>
      <c r="I594" s="8" t="s">
        <v>83</v>
      </c>
      <c r="J594" s="9">
        <v>1</v>
      </c>
      <c r="K594" s="9">
        <v>157</v>
      </c>
      <c r="L594" s="9">
        <v>2022</v>
      </c>
      <c r="M594" s="8" t="s">
        <v>3574</v>
      </c>
      <c r="N594" s="8" t="s">
        <v>41</v>
      </c>
      <c r="O594" s="8" t="s">
        <v>97</v>
      </c>
      <c r="P594" s="6" t="s">
        <v>54</v>
      </c>
      <c r="Q594" s="8" t="s">
        <v>86</v>
      </c>
      <c r="R594" s="10" t="s">
        <v>3575</v>
      </c>
      <c r="S594" s="11" t="s">
        <v>1349</v>
      </c>
      <c r="T594" s="6"/>
      <c r="U594" s="28" t="str">
        <f>HYPERLINK("https://media.infra-m.ru/1920/1920341/cover/1920341.jpg", "Обложка")</f>
        <v>Обложка</v>
      </c>
      <c r="V594" s="28" t="str">
        <f>HYPERLINK("https://znanium.com/catalog/product/1909158", "Ознакомиться")</f>
        <v>Ознакомиться</v>
      </c>
      <c r="W594" s="8" t="s">
        <v>110</v>
      </c>
      <c r="X594" s="6"/>
      <c r="Y594" s="6"/>
      <c r="Z594" s="6"/>
      <c r="AA594" s="6" t="s">
        <v>317</v>
      </c>
    </row>
    <row r="595" spans="1:27" s="4" customFormat="1" ht="51.95" customHeight="1">
      <c r="A595" s="5">
        <v>0</v>
      </c>
      <c r="B595" s="6" t="s">
        <v>3576</v>
      </c>
      <c r="C595" s="13">
        <v>1940</v>
      </c>
      <c r="D595" s="8" t="s">
        <v>3577</v>
      </c>
      <c r="E595" s="8" t="s">
        <v>3578</v>
      </c>
      <c r="F595" s="8" t="s">
        <v>396</v>
      </c>
      <c r="G595" s="6" t="s">
        <v>95</v>
      </c>
      <c r="H595" s="6" t="s">
        <v>64</v>
      </c>
      <c r="I595" s="8" t="s">
        <v>192</v>
      </c>
      <c r="J595" s="9">
        <v>1</v>
      </c>
      <c r="K595" s="9">
        <v>421</v>
      </c>
      <c r="L595" s="9">
        <v>2023</v>
      </c>
      <c r="M595" s="8" t="s">
        <v>3579</v>
      </c>
      <c r="N595" s="8" t="s">
        <v>41</v>
      </c>
      <c r="O595" s="8" t="s">
        <v>97</v>
      </c>
      <c r="P595" s="6" t="s">
        <v>67</v>
      </c>
      <c r="Q595" s="8" t="s">
        <v>194</v>
      </c>
      <c r="R595" s="10" t="s">
        <v>3019</v>
      </c>
      <c r="S595" s="11" t="s">
        <v>3580</v>
      </c>
      <c r="T595" s="6"/>
      <c r="U595" s="28" t="str">
        <f>HYPERLINK("https://media.infra-m.ru/1123/1123729/cover/1123729.jpg", "Обложка")</f>
        <v>Обложка</v>
      </c>
      <c r="V595" s="28" t="str">
        <f>HYPERLINK("https://znanium.com/catalog/product/1123729", "Ознакомиться")</f>
        <v>Ознакомиться</v>
      </c>
      <c r="W595" s="8" t="s">
        <v>400</v>
      </c>
      <c r="X595" s="6" t="s">
        <v>262</v>
      </c>
      <c r="Y595" s="6"/>
      <c r="Z595" s="6" t="s">
        <v>197</v>
      </c>
      <c r="AA595" s="6" t="s">
        <v>112</v>
      </c>
    </row>
    <row r="596" spans="1:27" s="4" customFormat="1" ht="51.95" customHeight="1">
      <c r="A596" s="5">
        <v>0</v>
      </c>
      <c r="B596" s="6" t="s">
        <v>3581</v>
      </c>
      <c r="C596" s="13">
        <v>2730</v>
      </c>
      <c r="D596" s="8" t="s">
        <v>3582</v>
      </c>
      <c r="E596" s="8" t="s">
        <v>3583</v>
      </c>
      <c r="F596" s="8" t="s">
        <v>3584</v>
      </c>
      <c r="G596" s="6" t="s">
        <v>95</v>
      </c>
      <c r="H596" s="6" t="s">
        <v>64</v>
      </c>
      <c r="I596" s="8" t="s">
        <v>185</v>
      </c>
      <c r="J596" s="9">
        <v>1</v>
      </c>
      <c r="K596" s="9">
        <v>592</v>
      </c>
      <c r="L596" s="9">
        <v>2024</v>
      </c>
      <c r="M596" s="8" t="s">
        <v>3585</v>
      </c>
      <c r="N596" s="8" t="s">
        <v>41</v>
      </c>
      <c r="O596" s="8" t="s">
        <v>97</v>
      </c>
      <c r="P596" s="6" t="s">
        <v>67</v>
      </c>
      <c r="Q596" s="8" t="s">
        <v>86</v>
      </c>
      <c r="R596" s="10" t="s">
        <v>373</v>
      </c>
      <c r="S596" s="11" t="s">
        <v>3586</v>
      </c>
      <c r="T596" s="6"/>
      <c r="U596" s="28" t="str">
        <f>HYPERLINK("https://media.infra-m.ru/2094/2094500/cover/2094500.jpg", "Обложка")</f>
        <v>Обложка</v>
      </c>
      <c r="V596" s="28" t="str">
        <f>HYPERLINK("https://znanium.com/catalog/product/2094500", "Ознакомиться")</f>
        <v>Ознакомиться</v>
      </c>
      <c r="W596" s="8" t="s">
        <v>120</v>
      </c>
      <c r="X596" s="6"/>
      <c r="Y596" s="6"/>
      <c r="Z596" s="6"/>
      <c r="AA596" s="6" t="s">
        <v>78</v>
      </c>
    </row>
    <row r="597" spans="1:27" s="4" customFormat="1" ht="42" customHeight="1">
      <c r="A597" s="5">
        <v>0</v>
      </c>
      <c r="B597" s="6" t="s">
        <v>3587</v>
      </c>
      <c r="C597" s="7">
        <v>740</v>
      </c>
      <c r="D597" s="8" t="s">
        <v>3588</v>
      </c>
      <c r="E597" s="8" t="s">
        <v>3589</v>
      </c>
      <c r="F597" s="8" t="s">
        <v>3590</v>
      </c>
      <c r="G597" s="6" t="s">
        <v>95</v>
      </c>
      <c r="H597" s="6" t="s">
        <v>64</v>
      </c>
      <c r="I597" s="8" t="s">
        <v>39</v>
      </c>
      <c r="J597" s="9">
        <v>1</v>
      </c>
      <c r="K597" s="9">
        <v>237</v>
      </c>
      <c r="L597" s="9">
        <v>2018</v>
      </c>
      <c r="M597" s="8" t="s">
        <v>3591</v>
      </c>
      <c r="N597" s="8" t="s">
        <v>41</v>
      </c>
      <c r="O597" s="8" t="s">
        <v>97</v>
      </c>
      <c r="P597" s="6" t="s">
        <v>43</v>
      </c>
      <c r="Q597" s="8" t="s">
        <v>44</v>
      </c>
      <c r="R597" s="10" t="s">
        <v>3592</v>
      </c>
      <c r="S597" s="11"/>
      <c r="T597" s="6"/>
      <c r="U597" s="28" t="str">
        <f>HYPERLINK("https://media.infra-m.ru/0942/0942813/cover/942813.jpg", "Обложка")</f>
        <v>Обложка</v>
      </c>
      <c r="V597" s="28" t="str">
        <f>HYPERLINK("https://znanium.com/catalog/product/942813", "Ознакомиться")</f>
        <v>Ознакомиться</v>
      </c>
      <c r="W597" s="8" t="s">
        <v>120</v>
      </c>
      <c r="X597" s="6"/>
      <c r="Y597" s="6"/>
      <c r="Z597" s="6"/>
      <c r="AA597" s="6" t="s">
        <v>78</v>
      </c>
    </row>
    <row r="598" spans="1:27" s="4" customFormat="1" ht="51.95" customHeight="1">
      <c r="A598" s="5">
        <v>0</v>
      </c>
      <c r="B598" s="6" t="s">
        <v>3593</v>
      </c>
      <c r="C598" s="13">
        <v>1570</v>
      </c>
      <c r="D598" s="8" t="s">
        <v>3594</v>
      </c>
      <c r="E598" s="8" t="s">
        <v>3595</v>
      </c>
      <c r="F598" s="8" t="s">
        <v>3596</v>
      </c>
      <c r="G598" s="6" t="s">
        <v>63</v>
      </c>
      <c r="H598" s="6" t="s">
        <v>64</v>
      </c>
      <c r="I598" s="8" t="s">
        <v>106</v>
      </c>
      <c r="J598" s="9">
        <v>1</v>
      </c>
      <c r="K598" s="9">
        <v>348</v>
      </c>
      <c r="L598" s="9">
        <v>2023</v>
      </c>
      <c r="M598" s="8" t="s">
        <v>3597</v>
      </c>
      <c r="N598" s="8" t="s">
        <v>41</v>
      </c>
      <c r="O598" s="8" t="s">
        <v>85</v>
      </c>
      <c r="P598" s="6" t="s">
        <v>67</v>
      </c>
      <c r="Q598" s="8" t="s">
        <v>55</v>
      </c>
      <c r="R598" s="10" t="s">
        <v>3598</v>
      </c>
      <c r="S598" s="11" t="s">
        <v>3599</v>
      </c>
      <c r="T598" s="6"/>
      <c r="U598" s="28" t="str">
        <f>HYPERLINK("https://media.infra-m.ru/2049/2049700/cover/2049700.jpg", "Обложка")</f>
        <v>Обложка</v>
      </c>
      <c r="V598" s="28" t="str">
        <f>HYPERLINK("https://znanium.com/catalog/product/2049700", "Ознакомиться")</f>
        <v>Ознакомиться</v>
      </c>
      <c r="W598" s="8" t="s">
        <v>110</v>
      </c>
      <c r="X598" s="6"/>
      <c r="Y598" s="6"/>
      <c r="Z598" s="6"/>
      <c r="AA598" s="6" t="s">
        <v>299</v>
      </c>
    </row>
    <row r="599" spans="1:27" s="4" customFormat="1" ht="51.95" customHeight="1">
      <c r="A599" s="5">
        <v>0</v>
      </c>
      <c r="B599" s="6" t="s">
        <v>3600</v>
      </c>
      <c r="C599" s="13">
        <v>1120</v>
      </c>
      <c r="D599" s="8" t="s">
        <v>3601</v>
      </c>
      <c r="E599" s="8" t="s">
        <v>3602</v>
      </c>
      <c r="F599" s="8" t="s">
        <v>3512</v>
      </c>
      <c r="G599" s="6" t="s">
        <v>63</v>
      </c>
      <c r="H599" s="6" t="s">
        <v>64</v>
      </c>
      <c r="I599" s="8" t="s">
        <v>83</v>
      </c>
      <c r="J599" s="9">
        <v>1</v>
      </c>
      <c r="K599" s="9">
        <v>347</v>
      </c>
      <c r="L599" s="9">
        <v>2019</v>
      </c>
      <c r="M599" s="8" t="s">
        <v>3603</v>
      </c>
      <c r="N599" s="8" t="s">
        <v>41</v>
      </c>
      <c r="O599" s="8" t="s">
        <v>85</v>
      </c>
      <c r="P599" s="6" t="s">
        <v>67</v>
      </c>
      <c r="Q599" s="8" t="s">
        <v>86</v>
      </c>
      <c r="R599" s="10" t="s">
        <v>3598</v>
      </c>
      <c r="S599" s="11" t="s">
        <v>680</v>
      </c>
      <c r="T599" s="6"/>
      <c r="U599" s="28" t="str">
        <f>HYPERLINK("https://media.infra-m.ru/1010/1010117/cover/1010117.jpg", "Обложка")</f>
        <v>Обложка</v>
      </c>
      <c r="V599" s="28" t="str">
        <f>HYPERLINK("https://znanium.com/catalog/product/2049700", "Ознакомиться")</f>
        <v>Ознакомиться</v>
      </c>
      <c r="W599" s="8" t="s">
        <v>110</v>
      </c>
      <c r="X599" s="6"/>
      <c r="Y599" s="6"/>
      <c r="Z599" s="6"/>
      <c r="AA599" s="6" t="s">
        <v>206</v>
      </c>
    </row>
    <row r="600" spans="1:27" s="4" customFormat="1" ht="51.95" customHeight="1">
      <c r="A600" s="5">
        <v>0</v>
      </c>
      <c r="B600" s="6" t="s">
        <v>3604</v>
      </c>
      <c r="C600" s="7">
        <v>980</v>
      </c>
      <c r="D600" s="8" t="s">
        <v>3605</v>
      </c>
      <c r="E600" s="8" t="s">
        <v>3606</v>
      </c>
      <c r="F600" s="8" t="s">
        <v>3607</v>
      </c>
      <c r="G600" s="6" t="s">
        <v>37</v>
      </c>
      <c r="H600" s="6" t="s">
        <v>38</v>
      </c>
      <c r="I600" s="8" t="s">
        <v>65</v>
      </c>
      <c r="J600" s="9">
        <v>1</v>
      </c>
      <c r="K600" s="9">
        <v>217</v>
      </c>
      <c r="L600" s="9">
        <v>2023</v>
      </c>
      <c r="M600" s="8" t="s">
        <v>3608</v>
      </c>
      <c r="N600" s="8" t="s">
        <v>41</v>
      </c>
      <c r="O600" s="8" t="s">
        <v>85</v>
      </c>
      <c r="P600" s="6" t="s">
        <v>67</v>
      </c>
      <c r="Q600" s="8" t="s">
        <v>55</v>
      </c>
      <c r="R600" s="10" t="s">
        <v>2655</v>
      </c>
      <c r="S600" s="11"/>
      <c r="T600" s="6" t="s">
        <v>144</v>
      </c>
      <c r="U600" s="28" t="str">
        <f>HYPERLINK("https://media.infra-m.ru/1911/1911188/cover/1911188.jpg", "Обложка")</f>
        <v>Обложка</v>
      </c>
      <c r="V600" s="28" t="str">
        <f>HYPERLINK("https://znanium.com/catalog/product/1911188", "Ознакомиться")</f>
        <v>Ознакомиться</v>
      </c>
      <c r="W600" s="8" t="s">
        <v>1823</v>
      </c>
      <c r="X600" s="6"/>
      <c r="Y600" s="6"/>
      <c r="Z600" s="6"/>
      <c r="AA600" s="6" t="s">
        <v>206</v>
      </c>
    </row>
    <row r="601" spans="1:27" s="4" customFormat="1" ht="51.95" customHeight="1">
      <c r="A601" s="5">
        <v>0</v>
      </c>
      <c r="B601" s="6" t="s">
        <v>3609</v>
      </c>
      <c r="C601" s="13">
        <v>1324.9</v>
      </c>
      <c r="D601" s="8" t="s">
        <v>3610</v>
      </c>
      <c r="E601" s="8" t="s">
        <v>3606</v>
      </c>
      <c r="F601" s="8" t="s">
        <v>1766</v>
      </c>
      <c r="G601" s="6" t="s">
        <v>95</v>
      </c>
      <c r="H601" s="6" t="s">
        <v>64</v>
      </c>
      <c r="I601" s="8" t="s">
        <v>83</v>
      </c>
      <c r="J601" s="9">
        <v>1</v>
      </c>
      <c r="K601" s="9">
        <v>413</v>
      </c>
      <c r="L601" s="9">
        <v>2019</v>
      </c>
      <c r="M601" s="8" t="s">
        <v>3611</v>
      </c>
      <c r="N601" s="8" t="s">
        <v>41</v>
      </c>
      <c r="O601" s="8" t="s">
        <v>85</v>
      </c>
      <c r="P601" s="6" t="s">
        <v>67</v>
      </c>
      <c r="Q601" s="8" t="s">
        <v>55</v>
      </c>
      <c r="R601" s="10" t="s">
        <v>1210</v>
      </c>
      <c r="S601" s="11" t="s">
        <v>3612</v>
      </c>
      <c r="T601" s="6"/>
      <c r="U601" s="28" t="str">
        <f>HYPERLINK("https://media.infra-m.ru/1010/1010087/cover/1010087.jpg", "Обложка")</f>
        <v>Обложка</v>
      </c>
      <c r="V601" s="28" t="str">
        <f>HYPERLINK("https://znanium.com/catalog/product/1010087", "Ознакомиться")</f>
        <v>Ознакомиться</v>
      </c>
      <c r="W601" s="8" t="s">
        <v>110</v>
      </c>
      <c r="X601" s="6"/>
      <c r="Y601" s="6"/>
      <c r="Z601" s="6"/>
      <c r="AA601" s="6" t="s">
        <v>47</v>
      </c>
    </row>
    <row r="602" spans="1:27" s="4" customFormat="1" ht="51.95" customHeight="1">
      <c r="A602" s="5">
        <v>0</v>
      </c>
      <c r="B602" s="6" t="s">
        <v>3613</v>
      </c>
      <c r="C602" s="13">
        <v>1254.9000000000001</v>
      </c>
      <c r="D602" s="8" t="s">
        <v>3614</v>
      </c>
      <c r="E602" s="8" t="s">
        <v>3606</v>
      </c>
      <c r="F602" s="8" t="s">
        <v>3615</v>
      </c>
      <c r="G602" s="6" t="s">
        <v>95</v>
      </c>
      <c r="H602" s="6" t="s">
        <v>64</v>
      </c>
      <c r="I602" s="8" t="s">
        <v>83</v>
      </c>
      <c r="J602" s="9">
        <v>1</v>
      </c>
      <c r="K602" s="9">
        <v>331</v>
      </c>
      <c r="L602" s="9">
        <v>2022</v>
      </c>
      <c r="M602" s="8" t="s">
        <v>3616</v>
      </c>
      <c r="N602" s="8" t="s">
        <v>41</v>
      </c>
      <c r="O602" s="8" t="s">
        <v>85</v>
      </c>
      <c r="P602" s="6" t="s">
        <v>67</v>
      </c>
      <c r="Q602" s="8" t="s">
        <v>86</v>
      </c>
      <c r="R602" s="10" t="s">
        <v>172</v>
      </c>
      <c r="S602" s="11" t="s">
        <v>3617</v>
      </c>
      <c r="T602" s="6"/>
      <c r="U602" s="28" t="str">
        <f>HYPERLINK("https://media.infra-m.ru/1844/1844276/cover/1844276.jpg", "Обложка")</f>
        <v>Обложка</v>
      </c>
      <c r="V602" s="28" t="str">
        <f>HYPERLINK("https://znanium.com/catalog/product/920546", "Ознакомиться")</f>
        <v>Ознакомиться</v>
      </c>
      <c r="W602" s="8" t="s">
        <v>3618</v>
      </c>
      <c r="X602" s="6"/>
      <c r="Y602" s="6"/>
      <c r="Z602" s="6"/>
      <c r="AA602" s="6" t="s">
        <v>47</v>
      </c>
    </row>
    <row r="603" spans="1:27" s="4" customFormat="1" ht="51.95" customHeight="1">
      <c r="A603" s="5">
        <v>0</v>
      </c>
      <c r="B603" s="6" t="s">
        <v>3619</v>
      </c>
      <c r="C603" s="7">
        <v>890</v>
      </c>
      <c r="D603" s="8" t="s">
        <v>3620</v>
      </c>
      <c r="E603" s="8" t="s">
        <v>3621</v>
      </c>
      <c r="F603" s="8" t="s">
        <v>3622</v>
      </c>
      <c r="G603" s="6" t="s">
        <v>95</v>
      </c>
      <c r="H603" s="6" t="s">
        <v>64</v>
      </c>
      <c r="I603" s="8" t="s">
        <v>83</v>
      </c>
      <c r="J603" s="9">
        <v>1</v>
      </c>
      <c r="K603" s="9">
        <v>185</v>
      </c>
      <c r="L603" s="9">
        <v>2023</v>
      </c>
      <c r="M603" s="8" t="s">
        <v>3623</v>
      </c>
      <c r="N603" s="8" t="s">
        <v>41</v>
      </c>
      <c r="O603" s="8" t="s">
        <v>85</v>
      </c>
      <c r="P603" s="6" t="s">
        <v>67</v>
      </c>
      <c r="Q603" s="8" t="s">
        <v>86</v>
      </c>
      <c r="R603" s="10" t="s">
        <v>172</v>
      </c>
      <c r="S603" s="11" t="s">
        <v>3624</v>
      </c>
      <c r="T603" s="6"/>
      <c r="U603" s="28" t="str">
        <f>HYPERLINK("https://media.infra-m.ru/1865/1865670/cover/1865670.jpg", "Обложка")</f>
        <v>Обложка</v>
      </c>
      <c r="V603" s="28" t="str">
        <f>HYPERLINK("https://znanium.com/catalog/product/1865670", "Ознакомиться")</f>
        <v>Ознакомиться</v>
      </c>
      <c r="W603" s="8" t="s">
        <v>1562</v>
      </c>
      <c r="X603" s="6"/>
      <c r="Y603" s="6"/>
      <c r="Z603" s="6"/>
      <c r="AA603" s="6" t="s">
        <v>299</v>
      </c>
    </row>
    <row r="604" spans="1:27" s="4" customFormat="1" ht="51.95" customHeight="1">
      <c r="A604" s="5">
        <v>0</v>
      </c>
      <c r="B604" s="6" t="s">
        <v>3625</v>
      </c>
      <c r="C604" s="13">
        <v>1084.9000000000001</v>
      </c>
      <c r="D604" s="8" t="s">
        <v>3626</v>
      </c>
      <c r="E604" s="8" t="s">
        <v>3606</v>
      </c>
      <c r="F604" s="8" t="s">
        <v>3627</v>
      </c>
      <c r="G604" s="6" t="s">
        <v>95</v>
      </c>
      <c r="H604" s="6" t="s">
        <v>64</v>
      </c>
      <c r="I604" s="8" t="s">
        <v>83</v>
      </c>
      <c r="J604" s="9">
        <v>1</v>
      </c>
      <c r="K604" s="9">
        <v>240</v>
      </c>
      <c r="L604" s="9">
        <v>2023</v>
      </c>
      <c r="M604" s="8" t="s">
        <v>3628</v>
      </c>
      <c r="N604" s="8" t="s">
        <v>41</v>
      </c>
      <c r="O604" s="8" t="s">
        <v>85</v>
      </c>
      <c r="P604" s="6" t="s">
        <v>67</v>
      </c>
      <c r="Q604" s="8" t="s">
        <v>86</v>
      </c>
      <c r="R604" s="10" t="s">
        <v>3629</v>
      </c>
      <c r="S604" s="11"/>
      <c r="T604" s="6"/>
      <c r="U604" s="28" t="str">
        <f>HYPERLINK("https://media.infra-m.ru/1983/1983235/cover/1983235.jpg", "Обложка")</f>
        <v>Обложка</v>
      </c>
      <c r="V604" s="28" t="str">
        <f>HYPERLINK("https://znanium.com/catalog/product/987785", "Ознакомиться")</f>
        <v>Ознакомиться</v>
      </c>
      <c r="W604" s="8" t="s">
        <v>3630</v>
      </c>
      <c r="X604" s="6"/>
      <c r="Y604" s="6"/>
      <c r="Z604" s="6"/>
      <c r="AA604" s="6" t="s">
        <v>3631</v>
      </c>
    </row>
    <row r="605" spans="1:27" s="4" customFormat="1" ht="51.95" customHeight="1">
      <c r="A605" s="5">
        <v>0</v>
      </c>
      <c r="B605" s="6" t="s">
        <v>3632</v>
      </c>
      <c r="C605" s="7">
        <v>680</v>
      </c>
      <c r="D605" s="8" t="s">
        <v>3633</v>
      </c>
      <c r="E605" s="8" t="s">
        <v>3606</v>
      </c>
      <c r="F605" s="8" t="s">
        <v>3634</v>
      </c>
      <c r="G605" s="6" t="s">
        <v>63</v>
      </c>
      <c r="H605" s="6" t="s">
        <v>64</v>
      </c>
      <c r="I605" s="8" t="s">
        <v>83</v>
      </c>
      <c r="J605" s="9">
        <v>1</v>
      </c>
      <c r="K605" s="9">
        <v>184</v>
      </c>
      <c r="L605" s="9">
        <v>2021</v>
      </c>
      <c r="M605" s="8" t="s">
        <v>3635</v>
      </c>
      <c r="N605" s="8" t="s">
        <v>41</v>
      </c>
      <c r="O605" s="8" t="s">
        <v>85</v>
      </c>
      <c r="P605" s="6" t="s">
        <v>67</v>
      </c>
      <c r="Q605" s="8" t="s">
        <v>86</v>
      </c>
      <c r="R605" s="10" t="s">
        <v>172</v>
      </c>
      <c r="S605" s="11" t="s">
        <v>3624</v>
      </c>
      <c r="T605" s="6"/>
      <c r="U605" s="28" t="str">
        <f>HYPERLINK("https://media.infra-m.ru/1584/1584941/cover/1584941.jpg", "Обложка")</f>
        <v>Обложка</v>
      </c>
      <c r="V605" s="28" t="str">
        <f>HYPERLINK("https://znanium.com/catalog/product/1865670", "Ознакомиться")</f>
        <v>Ознакомиться</v>
      </c>
      <c r="W605" s="8" t="s">
        <v>1562</v>
      </c>
      <c r="X605" s="6"/>
      <c r="Y605" s="6"/>
      <c r="Z605" s="6"/>
      <c r="AA605" s="6" t="s">
        <v>47</v>
      </c>
    </row>
    <row r="606" spans="1:27" s="4" customFormat="1" ht="51.95" customHeight="1">
      <c r="A606" s="5">
        <v>0</v>
      </c>
      <c r="B606" s="6" t="s">
        <v>3636</v>
      </c>
      <c r="C606" s="13">
        <v>1324.9</v>
      </c>
      <c r="D606" s="8" t="s">
        <v>3637</v>
      </c>
      <c r="E606" s="8" t="s">
        <v>3606</v>
      </c>
      <c r="F606" s="8" t="s">
        <v>3638</v>
      </c>
      <c r="G606" s="6" t="s">
        <v>95</v>
      </c>
      <c r="H606" s="6" t="s">
        <v>64</v>
      </c>
      <c r="I606" s="8" t="s">
        <v>83</v>
      </c>
      <c r="J606" s="9">
        <v>1</v>
      </c>
      <c r="K606" s="9">
        <v>294</v>
      </c>
      <c r="L606" s="9">
        <v>2023</v>
      </c>
      <c r="M606" s="8" t="s">
        <v>3639</v>
      </c>
      <c r="N606" s="8" t="s">
        <v>41</v>
      </c>
      <c r="O606" s="8" t="s">
        <v>85</v>
      </c>
      <c r="P606" s="6" t="s">
        <v>67</v>
      </c>
      <c r="Q606" s="8" t="s">
        <v>86</v>
      </c>
      <c r="R606" s="10" t="s">
        <v>3592</v>
      </c>
      <c r="S606" s="11" t="s">
        <v>680</v>
      </c>
      <c r="T606" s="6"/>
      <c r="U606" s="28" t="str">
        <f>HYPERLINK("https://media.infra-m.ru/1900/1900865/cover/1900865.jpg", "Обложка")</f>
        <v>Обложка</v>
      </c>
      <c r="V606" s="28" t="str">
        <f>HYPERLINK("https://znanium.com/catalog/product/938021", "Ознакомиться")</f>
        <v>Ознакомиться</v>
      </c>
      <c r="W606" s="8" t="s">
        <v>763</v>
      </c>
      <c r="X606" s="6"/>
      <c r="Y606" s="6"/>
      <c r="Z606" s="6"/>
      <c r="AA606" s="6" t="s">
        <v>78</v>
      </c>
    </row>
    <row r="607" spans="1:27" s="4" customFormat="1" ht="51.95" customHeight="1">
      <c r="A607" s="5">
        <v>0</v>
      </c>
      <c r="B607" s="6" t="s">
        <v>3640</v>
      </c>
      <c r="C607" s="13">
        <v>1184</v>
      </c>
      <c r="D607" s="8" t="s">
        <v>3641</v>
      </c>
      <c r="E607" s="8" t="s">
        <v>3621</v>
      </c>
      <c r="F607" s="8" t="s">
        <v>3089</v>
      </c>
      <c r="G607" s="6" t="s">
        <v>95</v>
      </c>
      <c r="H607" s="6" t="s">
        <v>329</v>
      </c>
      <c r="I607" s="8" t="s">
        <v>185</v>
      </c>
      <c r="J607" s="9">
        <v>1</v>
      </c>
      <c r="K607" s="9">
        <v>256</v>
      </c>
      <c r="L607" s="9">
        <v>2024</v>
      </c>
      <c r="M607" s="8" t="s">
        <v>3642</v>
      </c>
      <c r="N607" s="8" t="s">
        <v>41</v>
      </c>
      <c r="O607" s="8" t="s">
        <v>85</v>
      </c>
      <c r="P607" s="6" t="s">
        <v>54</v>
      </c>
      <c r="Q607" s="8" t="s">
        <v>86</v>
      </c>
      <c r="R607" s="10" t="s">
        <v>373</v>
      </c>
      <c r="S607" s="11" t="s">
        <v>3643</v>
      </c>
      <c r="T607" s="6"/>
      <c r="U607" s="28" t="str">
        <f>HYPERLINK("https://media.infra-m.ru/2053/2053981/cover/2053981.jpg", "Обложка")</f>
        <v>Обложка</v>
      </c>
      <c r="V607" s="28" t="str">
        <f>HYPERLINK("https://znanium.com/catalog/product/1745609", "Ознакомиться")</f>
        <v>Ознакомиться</v>
      </c>
      <c r="W607" s="8" t="s">
        <v>1211</v>
      </c>
      <c r="X607" s="6"/>
      <c r="Y607" s="6"/>
      <c r="Z607" s="6"/>
      <c r="AA607" s="6" t="s">
        <v>307</v>
      </c>
    </row>
    <row r="608" spans="1:27" s="4" customFormat="1" ht="51.95" customHeight="1">
      <c r="A608" s="5">
        <v>0</v>
      </c>
      <c r="B608" s="6" t="s">
        <v>3644</v>
      </c>
      <c r="C608" s="13">
        <v>1004.9</v>
      </c>
      <c r="D608" s="8" t="s">
        <v>3645</v>
      </c>
      <c r="E608" s="8" t="s">
        <v>3606</v>
      </c>
      <c r="F608" s="8" t="s">
        <v>3646</v>
      </c>
      <c r="G608" s="6" t="s">
        <v>95</v>
      </c>
      <c r="H608" s="6" t="s">
        <v>64</v>
      </c>
      <c r="I608" s="8" t="s">
        <v>83</v>
      </c>
      <c r="J608" s="9">
        <v>1</v>
      </c>
      <c r="K608" s="9">
        <v>224</v>
      </c>
      <c r="L608" s="9">
        <v>2023</v>
      </c>
      <c r="M608" s="8" t="s">
        <v>3647</v>
      </c>
      <c r="N608" s="8" t="s">
        <v>41</v>
      </c>
      <c r="O608" s="8" t="s">
        <v>85</v>
      </c>
      <c r="P608" s="6" t="s">
        <v>54</v>
      </c>
      <c r="Q608" s="8" t="s">
        <v>86</v>
      </c>
      <c r="R608" s="10" t="s">
        <v>3648</v>
      </c>
      <c r="S608" s="11" t="s">
        <v>3649</v>
      </c>
      <c r="T608" s="6"/>
      <c r="U608" s="28" t="str">
        <f>HYPERLINK("https://media.infra-m.ru/1921/1921415/cover/1921415.jpg", "Обложка")</f>
        <v>Обложка</v>
      </c>
      <c r="V608" s="28" t="str">
        <f>HYPERLINK("https://znanium.com/catalog/product/965342", "Ознакомиться")</f>
        <v>Ознакомиться</v>
      </c>
      <c r="W608" s="8" t="s">
        <v>110</v>
      </c>
      <c r="X608" s="6"/>
      <c r="Y608" s="6"/>
      <c r="Z608" s="6"/>
      <c r="AA608" s="6" t="s">
        <v>47</v>
      </c>
    </row>
    <row r="609" spans="1:27" s="4" customFormat="1" ht="51.95" customHeight="1">
      <c r="A609" s="5">
        <v>0</v>
      </c>
      <c r="B609" s="6" t="s">
        <v>3650</v>
      </c>
      <c r="C609" s="13">
        <v>1084.9000000000001</v>
      </c>
      <c r="D609" s="8" t="s">
        <v>3651</v>
      </c>
      <c r="E609" s="8" t="s">
        <v>3621</v>
      </c>
      <c r="F609" s="8" t="s">
        <v>1791</v>
      </c>
      <c r="G609" s="6" t="s">
        <v>95</v>
      </c>
      <c r="H609" s="6" t="s">
        <v>64</v>
      </c>
      <c r="I609" s="8" t="s">
        <v>83</v>
      </c>
      <c r="J609" s="9">
        <v>1</v>
      </c>
      <c r="K609" s="9">
        <v>240</v>
      </c>
      <c r="L609" s="9">
        <v>2023</v>
      </c>
      <c r="M609" s="8" t="s">
        <v>3652</v>
      </c>
      <c r="N609" s="8" t="s">
        <v>41</v>
      </c>
      <c r="O609" s="8" t="s">
        <v>85</v>
      </c>
      <c r="P609" s="6" t="s">
        <v>54</v>
      </c>
      <c r="Q609" s="8" t="s">
        <v>86</v>
      </c>
      <c r="R609" s="10" t="s">
        <v>1408</v>
      </c>
      <c r="S609" s="11" t="s">
        <v>3653</v>
      </c>
      <c r="T609" s="6" t="s">
        <v>144</v>
      </c>
      <c r="U609" s="28" t="str">
        <f>HYPERLINK("https://media.infra-m.ru/1911/1911827/cover/1911827.jpg", "Обложка")</f>
        <v>Обложка</v>
      </c>
      <c r="V609" s="28" t="str">
        <f>HYPERLINK("https://znanium.com/catalog/product/1003848", "Ознакомиться")</f>
        <v>Ознакомиться</v>
      </c>
      <c r="W609" s="8" t="s">
        <v>1454</v>
      </c>
      <c r="X609" s="6"/>
      <c r="Y609" s="6"/>
      <c r="Z609" s="6"/>
      <c r="AA609" s="6" t="s">
        <v>180</v>
      </c>
    </row>
    <row r="610" spans="1:27" s="4" customFormat="1" ht="51.95" customHeight="1">
      <c r="A610" s="5">
        <v>0</v>
      </c>
      <c r="B610" s="6" t="s">
        <v>3654</v>
      </c>
      <c r="C610" s="13">
        <v>1194.9000000000001</v>
      </c>
      <c r="D610" s="8" t="s">
        <v>3655</v>
      </c>
      <c r="E610" s="8" t="s">
        <v>3606</v>
      </c>
      <c r="F610" s="8" t="s">
        <v>3656</v>
      </c>
      <c r="G610" s="6" t="s">
        <v>95</v>
      </c>
      <c r="H610" s="6" t="s">
        <v>64</v>
      </c>
      <c r="I610" s="8" t="s">
        <v>185</v>
      </c>
      <c r="J610" s="9">
        <v>1</v>
      </c>
      <c r="K610" s="9">
        <v>372</v>
      </c>
      <c r="L610" s="9">
        <v>2019</v>
      </c>
      <c r="M610" s="8" t="s">
        <v>3657</v>
      </c>
      <c r="N610" s="8" t="s">
        <v>41</v>
      </c>
      <c r="O610" s="8" t="s">
        <v>85</v>
      </c>
      <c r="P610" s="6" t="s">
        <v>54</v>
      </c>
      <c r="Q610" s="8" t="s">
        <v>86</v>
      </c>
      <c r="R610" s="10" t="s">
        <v>1210</v>
      </c>
      <c r="S610" s="11"/>
      <c r="T610" s="6" t="s">
        <v>144</v>
      </c>
      <c r="U610" s="28" t="str">
        <f>HYPERLINK("https://media.infra-m.ru/1002/1002725/cover/1002725.jpg", "Обложка")</f>
        <v>Обложка</v>
      </c>
      <c r="V610" s="28" t="str">
        <f>HYPERLINK("https://znanium.com/catalog/product/1002725", "Ознакомиться")</f>
        <v>Ознакомиться</v>
      </c>
      <c r="W610" s="8" t="s">
        <v>737</v>
      </c>
      <c r="X610" s="6"/>
      <c r="Y610" s="6"/>
      <c r="Z610" s="6"/>
      <c r="AA610" s="6" t="s">
        <v>251</v>
      </c>
    </row>
    <row r="611" spans="1:27" s="4" customFormat="1" ht="51.95" customHeight="1">
      <c r="A611" s="5">
        <v>0</v>
      </c>
      <c r="B611" s="6" t="s">
        <v>3658</v>
      </c>
      <c r="C611" s="7">
        <v>264.89999999999998</v>
      </c>
      <c r="D611" s="8" t="s">
        <v>3659</v>
      </c>
      <c r="E611" s="8" t="s">
        <v>3606</v>
      </c>
      <c r="F611" s="8" t="s">
        <v>3627</v>
      </c>
      <c r="G611" s="6" t="s">
        <v>37</v>
      </c>
      <c r="H611" s="6" t="s">
        <v>38</v>
      </c>
      <c r="I611" s="8" t="s">
        <v>83</v>
      </c>
      <c r="J611" s="9">
        <v>1</v>
      </c>
      <c r="K611" s="9">
        <v>88</v>
      </c>
      <c r="L611" s="9">
        <v>2023</v>
      </c>
      <c r="M611" s="8" t="s">
        <v>3660</v>
      </c>
      <c r="N611" s="8" t="s">
        <v>41</v>
      </c>
      <c r="O611" s="8" t="s">
        <v>85</v>
      </c>
      <c r="P611" s="6" t="s">
        <v>54</v>
      </c>
      <c r="Q611" s="8" t="s">
        <v>86</v>
      </c>
      <c r="R611" s="10" t="s">
        <v>3661</v>
      </c>
      <c r="S611" s="11"/>
      <c r="T611" s="6"/>
      <c r="U611" s="28" t="str">
        <f>HYPERLINK("https://media.infra-m.ru/1900/1900847/cover/1900847.jpg", "Обложка")</f>
        <v>Обложка</v>
      </c>
      <c r="V611" s="28" t="str">
        <f>HYPERLINK("https://znanium.com/catalog/product/1062380", "Ознакомиться")</f>
        <v>Ознакомиться</v>
      </c>
      <c r="W611" s="8" t="s">
        <v>3630</v>
      </c>
      <c r="X611" s="6"/>
      <c r="Y611" s="6"/>
      <c r="Z611" s="6"/>
      <c r="AA611" s="6" t="s">
        <v>3662</v>
      </c>
    </row>
    <row r="612" spans="1:27" s="4" customFormat="1" ht="51.95" customHeight="1">
      <c r="A612" s="5">
        <v>0</v>
      </c>
      <c r="B612" s="6" t="s">
        <v>3663</v>
      </c>
      <c r="C612" s="13">
        <v>1134</v>
      </c>
      <c r="D612" s="8" t="s">
        <v>3664</v>
      </c>
      <c r="E612" s="8" t="s">
        <v>3606</v>
      </c>
      <c r="F612" s="8" t="s">
        <v>2212</v>
      </c>
      <c r="G612" s="6" t="s">
        <v>95</v>
      </c>
      <c r="H612" s="6" t="s">
        <v>64</v>
      </c>
      <c r="I612" s="8" t="s">
        <v>83</v>
      </c>
      <c r="J612" s="9">
        <v>1</v>
      </c>
      <c r="K612" s="9">
        <v>247</v>
      </c>
      <c r="L612" s="9">
        <v>2023</v>
      </c>
      <c r="M612" s="8" t="s">
        <v>3665</v>
      </c>
      <c r="N612" s="8" t="s">
        <v>41</v>
      </c>
      <c r="O612" s="8" t="s">
        <v>85</v>
      </c>
      <c r="P612" s="6" t="s">
        <v>54</v>
      </c>
      <c r="Q612" s="8" t="s">
        <v>86</v>
      </c>
      <c r="R612" s="10" t="s">
        <v>3666</v>
      </c>
      <c r="S612" s="11" t="s">
        <v>1794</v>
      </c>
      <c r="T612" s="6"/>
      <c r="U612" s="28" t="str">
        <f>HYPERLINK("https://media.infra-m.ru/1892/1892017/cover/1892017.jpg", "Обложка")</f>
        <v>Обложка</v>
      </c>
      <c r="V612" s="28" t="str">
        <f>HYPERLINK("https://znanium.com/catalog/product/1047178", "Ознакомиться")</f>
        <v>Ознакомиться</v>
      </c>
      <c r="W612" s="8" t="s">
        <v>1291</v>
      </c>
      <c r="X612" s="6"/>
      <c r="Y612" s="6"/>
      <c r="Z612" s="6"/>
      <c r="AA612" s="6" t="s">
        <v>206</v>
      </c>
    </row>
    <row r="613" spans="1:27" s="4" customFormat="1" ht="51.95" customHeight="1">
      <c r="A613" s="5">
        <v>0</v>
      </c>
      <c r="B613" s="6" t="s">
        <v>3667</v>
      </c>
      <c r="C613" s="13">
        <v>1094</v>
      </c>
      <c r="D613" s="8" t="s">
        <v>3668</v>
      </c>
      <c r="E613" s="8" t="s">
        <v>3606</v>
      </c>
      <c r="F613" s="8" t="s">
        <v>3669</v>
      </c>
      <c r="G613" s="6" t="s">
        <v>95</v>
      </c>
      <c r="H613" s="6" t="s">
        <v>64</v>
      </c>
      <c r="I613" s="8" t="s">
        <v>83</v>
      </c>
      <c r="J613" s="9">
        <v>1</v>
      </c>
      <c r="K613" s="9">
        <v>236</v>
      </c>
      <c r="L613" s="9">
        <v>2024</v>
      </c>
      <c r="M613" s="8" t="s">
        <v>3670</v>
      </c>
      <c r="N613" s="8" t="s">
        <v>41</v>
      </c>
      <c r="O613" s="8" t="s">
        <v>85</v>
      </c>
      <c r="P613" s="6" t="s">
        <v>54</v>
      </c>
      <c r="Q613" s="8" t="s">
        <v>86</v>
      </c>
      <c r="R613" s="10" t="s">
        <v>3592</v>
      </c>
      <c r="S613" s="11" t="s">
        <v>3671</v>
      </c>
      <c r="T613" s="6"/>
      <c r="U613" s="28" t="str">
        <f>HYPERLINK("https://media.infra-m.ru/2061/2061519/cover/2061519.jpg", "Обложка")</f>
        <v>Обложка</v>
      </c>
      <c r="V613" s="28" t="str">
        <f>HYPERLINK("https://znanium.com/catalog/product/968882", "Ознакомиться")</f>
        <v>Ознакомиться</v>
      </c>
      <c r="W613" s="8" t="s">
        <v>110</v>
      </c>
      <c r="X613" s="6"/>
      <c r="Y613" s="6"/>
      <c r="Z613" s="6"/>
      <c r="AA613" s="6" t="s">
        <v>317</v>
      </c>
    </row>
    <row r="614" spans="1:27" s="4" customFormat="1" ht="42" customHeight="1">
      <c r="A614" s="5">
        <v>0</v>
      </c>
      <c r="B614" s="6" t="s">
        <v>3672</v>
      </c>
      <c r="C614" s="7">
        <v>860</v>
      </c>
      <c r="D614" s="8" t="s">
        <v>3673</v>
      </c>
      <c r="E614" s="8" t="s">
        <v>3674</v>
      </c>
      <c r="F614" s="8" t="s">
        <v>3675</v>
      </c>
      <c r="G614" s="6" t="s">
        <v>63</v>
      </c>
      <c r="H614" s="6" t="s">
        <v>64</v>
      </c>
      <c r="I614" s="8" t="s">
        <v>39</v>
      </c>
      <c r="J614" s="9">
        <v>1</v>
      </c>
      <c r="K614" s="9">
        <v>231</v>
      </c>
      <c r="L614" s="9">
        <v>2021</v>
      </c>
      <c r="M614" s="8" t="s">
        <v>3676</v>
      </c>
      <c r="N614" s="8" t="s">
        <v>41</v>
      </c>
      <c r="O614" s="8" t="s">
        <v>97</v>
      </c>
      <c r="P614" s="6" t="s">
        <v>43</v>
      </c>
      <c r="Q614" s="8" t="s">
        <v>44</v>
      </c>
      <c r="R614" s="10" t="s">
        <v>1408</v>
      </c>
      <c r="S614" s="11"/>
      <c r="T614" s="6"/>
      <c r="U614" s="28" t="str">
        <f>HYPERLINK("https://media.infra-m.ru/1149/1149630/cover/1149630.jpg", "Обложка")</f>
        <v>Обложка</v>
      </c>
      <c r="V614" s="28" t="str">
        <f>HYPERLINK("https://znanium.com/catalog/product/1149630", "Ознакомиться")</f>
        <v>Ознакомиться</v>
      </c>
      <c r="W614" s="8" t="s">
        <v>1291</v>
      </c>
      <c r="X614" s="6"/>
      <c r="Y614" s="6"/>
      <c r="Z614" s="6"/>
      <c r="AA614" s="6" t="s">
        <v>71</v>
      </c>
    </row>
    <row r="615" spans="1:27" s="4" customFormat="1" ht="42" customHeight="1">
      <c r="A615" s="5">
        <v>0</v>
      </c>
      <c r="B615" s="6" t="s">
        <v>3677</v>
      </c>
      <c r="C615" s="7">
        <v>590</v>
      </c>
      <c r="D615" s="8" t="s">
        <v>3678</v>
      </c>
      <c r="E615" s="8" t="s">
        <v>3679</v>
      </c>
      <c r="F615" s="8" t="s">
        <v>3680</v>
      </c>
      <c r="G615" s="6" t="s">
        <v>37</v>
      </c>
      <c r="H615" s="6" t="s">
        <v>125</v>
      </c>
      <c r="I615" s="8"/>
      <c r="J615" s="9">
        <v>1</v>
      </c>
      <c r="K615" s="9">
        <v>188</v>
      </c>
      <c r="L615" s="9">
        <v>2018</v>
      </c>
      <c r="M615" s="8" t="s">
        <v>3681</v>
      </c>
      <c r="N615" s="8" t="s">
        <v>41</v>
      </c>
      <c r="O615" s="8" t="s">
        <v>97</v>
      </c>
      <c r="P615" s="6" t="s">
        <v>43</v>
      </c>
      <c r="Q615" s="8" t="s">
        <v>55</v>
      </c>
      <c r="R615" s="10" t="s">
        <v>422</v>
      </c>
      <c r="S615" s="11"/>
      <c r="T615" s="6"/>
      <c r="U615" s="28" t="str">
        <f>HYPERLINK("https://media.infra-m.ru/0927/0927078/cover/927078.jpg", "Обложка")</f>
        <v>Обложка</v>
      </c>
      <c r="V615" s="28" t="str">
        <f>HYPERLINK("https://znanium.com/catalog/product/881931", "Ознакомиться")</f>
        <v>Ознакомиться</v>
      </c>
      <c r="W615" s="8" t="s">
        <v>892</v>
      </c>
      <c r="X615" s="6"/>
      <c r="Y615" s="6"/>
      <c r="Z615" s="6"/>
      <c r="AA615" s="6" t="s">
        <v>206</v>
      </c>
    </row>
    <row r="616" spans="1:27" s="4" customFormat="1" ht="51.95" customHeight="1">
      <c r="A616" s="5">
        <v>0</v>
      </c>
      <c r="B616" s="6" t="s">
        <v>3682</v>
      </c>
      <c r="C616" s="7">
        <v>954</v>
      </c>
      <c r="D616" s="8" t="s">
        <v>3683</v>
      </c>
      <c r="E616" s="8" t="s">
        <v>3684</v>
      </c>
      <c r="F616" s="8" t="s">
        <v>3003</v>
      </c>
      <c r="G616" s="6" t="s">
        <v>63</v>
      </c>
      <c r="H616" s="6" t="s">
        <v>52</v>
      </c>
      <c r="I616" s="8"/>
      <c r="J616" s="9">
        <v>1</v>
      </c>
      <c r="K616" s="9">
        <v>208</v>
      </c>
      <c r="L616" s="9">
        <v>2023</v>
      </c>
      <c r="M616" s="8" t="s">
        <v>3685</v>
      </c>
      <c r="N616" s="8" t="s">
        <v>41</v>
      </c>
      <c r="O616" s="8" t="s">
        <v>97</v>
      </c>
      <c r="P616" s="6" t="s">
        <v>54</v>
      </c>
      <c r="Q616" s="8" t="s">
        <v>55</v>
      </c>
      <c r="R616" s="10" t="s">
        <v>3686</v>
      </c>
      <c r="S616" s="11"/>
      <c r="T616" s="6"/>
      <c r="U616" s="28" t="str">
        <f>HYPERLINK("https://media.infra-m.ru/2006/2006932/cover/2006932.jpg", "Обложка")</f>
        <v>Обложка</v>
      </c>
      <c r="V616" s="28" t="str">
        <f>HYPERLINK("https://znanium.com/catalog/product/1201976", "Ознакомиться")</f>
        <v>Ознакомиться</v>
      </c>
      <c r="W616" s="8" t="s">
        <v>57</v>
      </c>
      <c r="X616" s="6"/>
      <c r="Y616" s="6"/>
      <c r="Z616" s="6"/>
      <c r="AA616" s="6" t="s">
        <v>441</v>
      </c>
    </row>
    <row r="617" spans="1:27" s="4" customFormat="1" ht="51.95" customHeight="1">
      <c r="A617" s="5">
        <v>0</v>
      </c>
      <c r="B617" s="6" t="s">
        <v>3687</v>
      </c>
      <c r="C617" s="7">
        <v>600</v>
      </c>
      <c r="D617" s="8" t="s">
        <v>3688</v>
      </c>
      <c r="E617" s="8" t="s">
        <v>3689</v>
      </c>
      <c r="F617" s="8" t="s">
        <v>3003</v>
      </c>
      <c r="G617" s="6" t="s">
        <v>95</v>
      </c>
      <c r="H617" s="6" t="s">
        <v>52</v>
      </c>
      <c r="I617" s="8"/>
      <c r="J617" s="9">
        <v>1</v>
      </c>
      <c r="K617" s="9">
        <v>176</v>
      </c>
      <c r="L617" s="9">
        <v>2018</v>
      </c>
      <c r="M617" s="8" t="s">
        <v>3690</v>
      </c>
      <c r="N617" s="8" t="s">
        <v>41</v>
      </c>
      <c r="O617" s="8" t="s">
        <v>97</v>
      </c>
      <c r="P617" s="6" t="s">
        <v>54</v>
      </c>
      <c r="Q617" s="8" t="s">
        <v>55</v>
      </c>
      <c r="R617" s="10" t="s">
        <v>3686</v>
      </c>
      <c r="S617" s="11"/>
      <c r="T617" s="6"/>
      <c r="U617" s="28" t="str">
        <f>HYPERLINK("https://media.infra-m.ru/0948/0948180/cover/948180.jpg", "Обложка")</f>
        <v>Обложка</v>
      </c>
      <c r="V617" s="28" t="str">
        <f>HYPERLINK("https://znanium.com/catalog/product/1201976", "Ознакомиться")</f>
        <v>Ознакомиться</v>
      </c>
      <c r="W617" s="8" t="s">
        <v>57</v>
      </c>
      <c r="X617" s="6"/>
      <c r="Y617" s="6"/>
      <c r="Z617" s="6"/>
      <c r="AA617" s="6" t="s">
        <v>71</v>
      </c>
    </row>
    <row r="618" spans="1:27" s="4" customFormat="1" ht="42" customHeight="1">
      <c r="A618" s="5">
        <v>0</v>
      </c>
      <c r="B618" s="6" t="s">
        <v>3691</v>
      </c>
      <c r="C618" s="13">
        <v>1574</v>
      </c>
      <c r="D618" s="8" t="s">
        <v>3692</v>
      </c>
      <c r="E618" s="8" t="s">
        <v>3693</v>
      </c>
      <c r="F618" s="8" t="s">
        <v>3694</v>
      </c>
      <c r="G618" s="6" t="s">
        <v>95</v>
      </c>
      <c r="H618" s="6" t="s">
        <v>125</v>
      </c>
      <c r="I618" s="8"/>
      <c r="J618" s="9">
        <v>1</v>
      </c>
      <c r="K618" s="9">
        <v>343</v>
      </c>
      <c r="L618" s="9">
        <v>2024</v>
      </c>
      <c r="M618" s="8" t="s">
        <v>3695</v>
      </c>
      <c r="N618" s="8" t="s">
        <v>41</v>
      </c>
      <c r="O618" s="8" t="s">
        <v>97</v>
      </c>
      <c r="P618" s="6" t="s">
        <v>67</v>
      </c>
      <c r="Q618" s="8" t="s">
        <v>55</v>
      </c>
      <c r="R618" s="10" t="s">
        <v>2769</v>
      </c>
      <c r="S618" s="11"/>
      <c r="T618" s="6"/>
      <c r="U618" s="28" t="str">
        <f>HYPERLINK("https://media.infra-m.ru/2079/2079595/cover/2079595.jpg", "Обложка")</f>
        <v>Обложка</v>
      </c>
      <c r="V618" s="28" t="str">
        <f>HYPERLINK("https://znanium.com/catalog/product/1167949", "Ознакомиться")</f>
        <v>Ознакомиться</v>
      </c>
      <c r="W618" s="8" t="s">
        <v>110</v>
      </c>
      <c r="X618" s="6"/>
      <c r="Y618" s="6"/>
      <c r="Z618" s="6"/>
      <c r="AA618" s="6" t="s">
        <v>127</v>
      </c>
    </row>
    <row r="619" spans="1:27" s="4" customFormat="1" ht="44.1" customHeight="1">
      <c r="A619" s="5">
        <v>0</v>
      </c>
      <c r="B619" s="6" t="s">
        <v>3696</v>
      </c>
      <c r="C619" s="13">
        <v>1714.9</v>
      </c>
      <c r="D619" s="8" t="s">
        <v>3697</v>
      </c>
      <c r="E619" s="8" t="s">
        <v>3698</v>
      </c>
      <c r="F619" s="8" t="s">
        <v>3699</v>
      </c>
      <c r="G619" s="6" t="s">
        <v>95</v>
      </c>
      <c r="H619" s="6" t="s">
        <v>125</v>
      </c>
      <c r="I619" s="8"/>
      <c r="J619" s="9">
        <v>1</v>
      </c>
      <c r="K619" s="9">
        <v>464</v>
      </c>
      <c r="L619" s="9">
        <v>2021</v>
      </c>
      <c r="M619" s="8" t="s">
        <v>3700</v>
      </c>
      <c r="N619" s="8" t="s">
        <v>41</v>
      </c>
      <c r="O619" s="8" t="s">
        <v>97</v>
      </c>
      <c r="P619" s="6" t="s">
        <v>67</v>
      </c>
      <c r="Q619" s="8" t="s">
        <v>86</v>
      </c>
      <c r="R619" s="10" t="s">
        <v>3701</v>
      </c>
      <c r="S619" s="11"/>
      <c r="T619" s="6" t="s">
        <v>144</v>
      </c>
      <c r="U619" s="28" t="str">
        <f>HYPERLINK("https://media.infra-m.ru/1658/1658736/cover/1658736.jpg", "Обложка")</f>
        <v>Обложка</v>
      </c>
      <c r="V619" s="28" t="str">
        <f>HYPERLINK("https://znanium.com/catalog/product/1658736", "Ознакомиться")</f>
        <v>Ознакомиться</v>
      </c>
      <c r="W619" s="8" t="s">
        <v>110</v>
      </c>
      <c r="X619" s="6"/>
      <c r="Y619" s="6"/>
      <c r="Z619" s="6"/>
      <c r="AA619" s="6" t="s">
        <v>317</v>
      </c>
    </row>
    <row r="620" spans="1:27" s="4" customFormat="1" ht="51.95" customHeight="1">
      <c r="A620" s="5">
        <v>0</v>
      </c>
      <c r="B620" s="6" t="s">
        <v>3702</v>
      </c>
      <c r="C620" s="13">
        <v>1274</v>
      </c>
      <c r="D620" s="8" t="s">
        <v>3703</v>
      </c>
      <c r="E620" s="8" t="s">
        <v>3704</v>
      </c>
      <c r="F620" s="8" t="s">
        <v>3705</v>
      </c>
      <c r="G620" s="6" t="s">
        <v>95</v>
      </c>
      <c r="H620" s="6" t="s">
        <v>64</v>
      </c>
      <c r="I620" s="8" t="s">
        <v>83</v>
      </c>
      <c r="J620" s="9">
        <v>1</v>
      </c>
      <c r="K620" s="9">
        <v>280</v>
      </c>
      <c r="L620" s="9">
        <v>2023</v>
      </c>
      <c r="M620" s="8" t="s">
        <v>3706</v>
      </c>
      <c r="N620" s="8" t="s">
        <v>41</v>
      </c>
      <c r="O620" s="8" t="s">
        <v>97</v>
      </c>
      <c r="P620" s="6" t="s">
        <v>67</v>
      </c>
      <c r="Q620" s="8" t="s">
        <v>86</v>
      </c>
      <c r="R620" s="10" t="s">
        <v>373</v>
      </c>
      <c r="S620" s="11" t="s">
        <v>188</v>
      </c>
      <c r="T620" s="6"/>
      <c r="U620" s="28" t="str">
        <f>HYPERLINK("https://media.infra-m.ru/2021/2021410/cover/2021410.jpg", "Обложка")</f>
        <v>Обложка</v>
      </c>
      <c r="V620" s="28" t="str">
        <f>HYPERLINK("https://znanium.com/catalog/product/989921", "Ознакомиться")</f>
        <v>Ознакомиться</v>
      </c>
      <c r="W620" s="8" t="s">
        <v>212</v>
      </c>
      <c r="X620" s="6"/>
      <c r="Y620" s="6"/>
      <c r="Z620" s="6"/>
      <c r="AA620" s="6" t="s">
        <v>166</v>
      </c>
    </row>
    <row r="621" spans="1:27" s="4" customFormat="1" ht="51.95" customHeight="1">
      <c r="A621" s="5">
        <v>0</v>
      </c>
      <c r="B621" s="6" t="s">
        <v>3707</v>
      </c>
      <c r="C621" s="13">
        <v>2194.9</v>
      </c>
      <c r="D621" s="8" t="s">
        <v>3708</v>
      </c>
      <c r="E621" s="8" t="s">
        <v>3709</v>
      </c>
      <c r="F621" s="8" t="s">
        <v>3710</v>
      </c>
      <c r="G621" s="6" t="s">
        <v>63</v>
      </c>
      <c r="H621" s="6" t="s">
        <v>64</v>
      </c>
      <c r="I621" s="8" t="s">
        <v>83</v>
      </c>
      <c r="J621" s="9">
        <v>1</v>
      </c>
      <c r="K621" s="9">
        <v>622</v>
      </c>
      <c r="L621" s="9">
        <v>2023</v>
      </c>
      <c r="M621" s="8" t="s">
        <v>3711</v>
      </c>
      <c r="N621" s="8" t="s">
        <v>41</v>
      </c>
      <c r="O621" s="8" t="s">
        <v>97</v>
      </c>
      <c r="P621" s="6" t="s">
        <v>67</v>
      </c>
      <c r="Q621" s="8" t="s">
        <v>86</v>
      </c>
      <c r="R621" s="10" t="s">
        <v>3712</v>
      </c>
      <c r="S621" s="11" t="s">
        <v>3713</v>
      </c>
      <c r="T621" s="6" t="s">
        <v>144</v>
      </c>
      <c r="U621" s="28" t="str">
        <f>HYPERLINK("https://media.infra-m.ru/1900/1900719/cover/1900719.jpg", "Обложка")</f>
        <v>Обложка</v>
      </c>
      <c r="V621" s="28" t="str">
        <f>HYPERLINK("https://znanium.com/catalog/product/1834745", "Ознакомиться")</f>
        <v>Ознакомиться</v>
      </c>
      <c r="W621" s="8" t="s">
        <v>110</v>
      </c>
      <c r="X621" s="6"/>
      <c r="Y621" s="6"/>
      <c r="Z621" s="6"/>
      <c r="AA621" s="6" t="s">
        <v>3449</v>
      </c>
    </row>
    <row r="622" spans="1:27" s="4" customFormat="1" ht="51.95" customHeight="1">
      <c r="A622" s="5">
        <v>0</v>
      </c>
      <c r="B622" s="6" t="s">
        <v>3714</v>
      </c>
      <c r="C622" s="7">
        <v>894.9</v>
      </c>
      <c r="D622" s="8" t="s">
        <v>3715</v>
      </c>
      <c r="E622" s="8" t="s">
        <v>3716</v>
      </c>
      <c r="F622" s="8" t="s">
        <v>3717</v>
      </c>
      <c r="G622" s="6" t="s">
        <v>95</v>
      </c>
      <c r="H622" s="6" t="s">
        <v>64</v>
      </c>
      <c r="I622" s="8" t="s">
        <v>185</v>
      </c>
      <c r="J622" s="9">
        <v>10</v>
      </c>
      <c r="K622" s="9">
        <v>784</v>
      </c>
      <c r="L622" s="9">
        <v>2016</v>
      </c>
      <c r="M622" s="8" t="s">
        <v>3718</v>
      </c>
      <c r="N622" s="8" t="s">
        <v>41</v>
      </c>
      <c r="O622" s="8" t="s">
        <v>97</v>
      </c>
      <c r="P622" s="6" t="s">
        <v>67</v>
      </c>
      <c r="Q622" s="8" t="s">
        <v>86</v>
      </c>
      <c r="R622" s="10" t="s">
        <v>3712</v>
      </c>
      <c r="S622" s="11" t="s">
        <v>3719</v>
      </c>
      <c r="T622" s="6"/>
      <c r="U622" s="28" t="str">
        <f>HYPERLINK("https://media.infra-m.ru/0548/0548451/cover/548451.jpg", "Обложка")</f>
        <v>Обложка</v>
      </c>
      <c r="V622" s="28" t="str">
        <f>HYPERLINK("https://znanium.com/catalog/product/1834745", "Ознакомиться")</f>
        <v>Ознакомиться</v>
      </c>
      <c r="W622" s="8" t="s">
        <v>110</v>
      </c>
      <c r="X622" s="6"/>
      <c r="Y622" s="6"/>
      <c r="Z622" s="6"/>
      <c r="AA622" s="6" t="s">
        <v>3720</v>
      </c>
    </row>
    <row r="623" spans="1:27" s="4" customFormat="1" ht="51.95" customHeight="1">
      <c r="A623" s="5">
        <v>0</v>
      </c>
      <c r="B623" s="6" t="s">
        <v>3721</v>
      </c>
      <c r="C623" s="13">
        <v>1090</v>
      </c>
      <c r="D623" s="8" t="s">
        <v>3722</v>
      </c>
      <c r="E623" s="8" t="s">
        <v>3723</v>
      </c>
      <c r="F623" s="8" t="s">
        <v>2212</v>
      </c>
      <c r="G623" s="6" t="s">
        <v>95</v>
      </c>
      <c r="H623" s="6" t="s">
        <v>64</v>
      </c>
      <c r="I623" s="8" t="s">
        <v>185</v>
      </c>
      <c r="J623" s="9">
        <v>1</v>
      </c>
      <c r="K623" s="9">
        <v>222</v>
      </c>
      <c r="L623" s="9">
        <v>2024</v>
      </c>
      <c r="M623" s="8" t="s">
        <v>3724</v>
      </c>
      <c r="N623" s="8" t="s">
        <v>41</v>
      </c>
      <c r="O623" s="8" t="s">
        <v>97</v>
      </c>
      <c r="P623" s="6" t="s">
        <v>67</v>
      </c>
      <c r="Q623" s="8" t="s">
        <v>86</v>
      </c>
      <c r="R623" s="10" t="s">
        <v>3725</v>
      </c>
      <c r="S623" s="11"/>
      <c r="T623" s="6"/>
      <c r="U623" s="28" t="str">
        <f>HYPERLINK("https://media.infra-m.ru/1846/1846126/cover/1846126.jpg", "Обложка")</f>
        <v>Обложка</v>
      </c>
      <c r="V623" s="28" t="str">
        <f>HYPERLINK("https://znanium.com/catalog/product/1846126", "Ознакомиться")</f>
        <v>Ознакомиться</v>
      </c>
      <c r="W623" s="8" t="s">
        <v>1291</v>
      </c>
      <c r="X623" s="6" t="s">
        <v>316</v>
      </c>
      <c r="Y623" s="6"/>
      <c r="Z623" s="6"/>
      <c r="AA623" s="6" t="s">
        <v>618</v>
      </c>
    </row>
    <row r="624" spans="1:27" s="4" customFormat="1" ht="42" customHeight="1">
      <c r="A624" s="5">
        <v>0</v>
      </c>
      <c r="B624" s="6" t="s">
        <v>3726</v>
      </c>
      <c r="C624" s="7">
        <v>650</v>
      </c>
      <c r="D624" s="8" t="s">
        <v>3727</v>
      </c>
      <c r="E624" s="8" t="s">
        <v>3728</v>
      </c>
      <c r="F624" s="8" t="s">
        <v>3729</v>
      </c>
      <c r="G624" s="6" t="s">
        <v>37</v>
      </c>
      <c r="H624" s="6" t="s">
        <v>38</v>
      </c>
      <c r="I624" s="8" t="s">
        <v>3730</v>
      </c>
      <c r="J624" s="9">
        <v>1</v>
      </c>
      <c r="K624" s="9">
        <v>154</v>
      </c>
      <c r="L624" s="9">
        <v>2022</v>
      </c>
      <c r="M624" s="8" t="s">
        <v>3731</v>
      </c>
      <c r="N624" s="8" t="s">
        <v>41</v>
      </c>
      <c r="O624" s="8" t="s">
        <v>97</v>
      </c>
      <c r="P624" s="6" t="s">
        <v>54</v>
      </c>
      <c r="Q624" s="8" t="s">
        <v>3732</v>
      </c>
      <c r="R624" s="10" t="s">
        <v>555</v>
      </c>
      <c r="S624" s="11"/>
      <c r="T624" s="6"/>
      <c r="U624" s="28" t="str">
        <f>HYPERLINK("https://media.infra-m.ru/1870/1870758/cover/1870758.jpg", "Обложка")</f>
        <v>Обложка</v>
      </c>
      <c r="V624" s="28" t="str">
        <f>HYPERLINK("https://znanium.com/catalog/product/1870758", "Ознакомиться")</f>
        <v>Ознакомиться</v>
      </c>
      <c r="W624" s="8" t="s">
        <v>212</v>
      </c>
      <c r="X624" s="6"/>
      <c r="Y624" s="6"/>
      <c r="Z624" s="6"/>
      <c r="AA624" s="6" t="s">
        <v>180</v>
      </c>
    </row>
    <row r="625" spans="1:27" s="4" customFormat="1" ht="51.95" customHeight="1">
      <c r="A625" s="5">
        <v>0</v>
      </c>
      <c r="B625" s="6" t="s">
        <v>3733</v>
      </c>
      <c r="C625" s="13">
        <v>1840</v>
      </c>
      <c r="D625" s="8" t="s">
        <v>3734</v>
      </c>
      <c r="E625" s="8" t="s">
        <v>3735</v>
      </c>
      <c r="F625" s="8" t="s">
        <v>3736</v>
      </c>
      <c r="G625" s="6" t="s">
        <v>63</v>
      </c>
      <c r="H625" s="6" t="s">
        <v>64</v>
      </c>
      <c r="I625" s="8" t="s">
        <v>185</v>
      </c>
      <c r="J625" s="9">
        <v>1</v>
      </c>
      <c r="K625" s="9">
        <v>398</v>
      </c>
      <c r="L625" s="9">
        <v>2024</v>
      </c>
      <c r="M625" s="8" t="s">
        <v>3737</v>
      </c>
      <c r="N625" s="8" t="s">
        <v>41</v>
      </c>
      <c r="O625" s="8" t="s">
        <v>97</v>
      </c>
      <c r="P625" s="6" t="s">
        <v>54</v>
      </c>
      <c r="Q625" s="8" t="s">
        <v>134</v>
      </c>
      <c r="R625" s="10" t="s">
        <v>3575</v>
      </c>
      <c r="S625" s="11" t="s">
        <v>3738</v>
      </c>
      <c r="T625" s="6" t="s">
        <v>144</v>
      </c>
      <c r="U625" s="28" t="str">
        <f>HYPERLINK("https://media.infra-m.ru/2082/2082928/cover/2082928.jpg", "Обложка")</f>
        <v>Обложка</v>
      </c>
      <c r="V625" s="28" t="str">
        <f>HYPERLINK("https://znanium.com/catalog/product/2082928", "Ознакомиться")</f>
        <v>Ознакомиться</v>
      </c>
      <c r="W625" s="8" t="s">
        <v>3739</v>
      </c>
      <c r="X625" s="6"/>
      <c r="Y625" s="6"/>
      <c r="Z625" s="6"/>
      <c r="AA625" s="6" t="s">
        <v>90</v>
      </c>
    </row>
    <row r="626" spans="1:27" s="4" customFormat="1" ht="51.95" customHeight="1">
      <c r="A626" s="5">
        <v>0</v>
      </c>
      <c r="B626" s="6" t="s">
        <v>3740</v>
      </c>
      <c r="C626" s="13">
        <v>1500</v>
      </c>
      <c r="D626" s="8" t="s">
        <v>3741</v>
      </c>
      <c r="E626" s="8" t="s">
        <v>3742</v>
      </c>
      <c r="F626" s="8" t="s">
        <v>3743</v>
      </c>
      <c r="G626" s="6" t="s">
        <v>63</v>
      </c>
      <c r="H626" s="6" t="s">
        <v>64</v>
      </c>
      <c r="I626" s="8" t="s">
        <v>106</v>
      </c>
      <c r="J626" s="9">
        <v>1</v>
      </c>
      <c r="K626" s="9">
        <v>313</v>
      </c>
      <c r="L626" s="9">
        <v>2023</v>
      </c>
      <c r="M626" s="8" t="s">
        <v>3744</v>
      </c>
      <c r="N626" s="8" t="s">
        <v>41</v>
      </c>
      <c r="O626" s="8" t="s">
        <v>97</v>
      </c>
      <c r="P626" s="6" t="s">
        <v>67</v>
      </c>
      <c r="Q626" s="8" t="s">
        <v>55</v>
      </c>
      <c r="R626" s="10" t="s">
        <v>422</v>
      </c>
      <c r="S626" s="11" t="s">
        <v>3745</v>
      </c>
      <c r="T626" s="6"/>
      <c r="U626" s="28" t="str">
        <f>HYPERLINK("https://media.infra-m.ru/2001/2001663/cover/2001663.jpg", "Обложка")</f>
        <v>Обложка</v>
      </c>
      <c r="V626" s="28" t="str">
        <f>HYPERLINK("https://znanium.com/catalog/product/2001663", "Ознакомиться")</f>
        <v>Ознакомиться</v>
      </c>
      <c r="W626" s="8" t="s">
        <v>110</v>
      </c>
      <c r="X626" s="6"/>
      <c r="Y626" s="6"/>
      <c r="Z626" s="6"/>
      <c r="AA626" s="6" t="s">
        <v>58</v>
      </c>
    </row>
    <row r="627" spans="1:27" s="4" customFormat="1" ht="51.95" customHeight="1">
      <c r="A627" s="5">
        <v>0</v>
      </c>
      <c r="B627" s="6" t="s">
        <v>3746</v>
      </c>
      <c r="C627" s="13">
        <v>2750</v>
      </c>
      <c r="D627" s="8" t="s">
        <v>3747</v>
      </c>
      <c r="E627" s="8" t="s">
        <v>3748</v>
      </c>
      <c r="F627" s="8" t="s">
        <v>3749</v>
      </c>
      <c r="G627" s="6" t="s">
        <v>95</v>
      </c>
      <c r="H627" s="6" t="s">
        <v>64</v>
      </c>
      <c r="I627" s="8" t="s">
        <v>185</v>
      </c>
      <c r="J627" s="9">
        <v>1</v>
      </c>
      <c r="K627" s="9">
        <v>612</v>
      </c>
      <c r="L627" s="9">
        <v>2023</v>
      </c>
      <c r="M627" s="8" t="s">
        <v>3750</v>
      </c>
      <c r="N627" s="8" t="s">
        <v>41</v>
      </c>
      <c r="O627" s="8" t="s">
        <v>97</v>
      </c>
      <c r="P627" s="6" t="s">
        <v>67</v>
      </c>
      <c r="Q627" s="8" t="s">
        <v>86</v>
      </c>
      <c r="R627" s="10" t="s">
        <v>3751</v>
      </c>
      <c r="S627" s="11" t="s">
        <v>3752</v>
      </c>
      <c r="T627" s="6"/>
      <c r="U627" s="28" t="str">
        <f>HYPERLINK("https://media.infra-m.ru/0447/0447391/cover/447391.jpg", "Обложка")</f>
        <v>Обложка</v>
      </c>
      <c r="V627" s="28" t="str">
        <f>HYPERLINK("https://znanium.com/catalog/product/447391", "Ознакомиться")</f>
        <v>Ознакомиться</v>
      </c>
      <c r="W627" s="8" t="s">
        <v>1335</v>
      </c>
      <c r="X627" s="6" t="s">
        <v>311</v>
      </c>
      <c r="Y627" s="6"/>
      <c r="Z627" s="6"/>
      <c r="AA627" s="6" t="s">
        <v>101</v>
      </c>
    </row>
    <row r="628" spans="1:27" s="4" customFormat="1" ht="51.95" customHeight="1">
      <c r="A628" s="5">
        <v>0</v>
      </c>
      <c r="B628" s="6" t="s">
        <v>3753</v>
      </c>
      <c r="C628" s="13">
        <v>2200</v>
      </c>
      <c r="D628" s="8" t="s">
        <v>3754</v>
      </c>
      <c r="E628" s="8" t="s">
        <v>3748</v>
      </c>
      <c r="F628" s="8" t="s">
        <v>3755</v>
      </c>
      <c r="G628" s="6" t="s">
        <v>63</v>
      </c>
      <c r="H628" s="6" t="s">
        <v>347</v>
      </c>
      <c r="I628" s="8"/>
      <c r="J628" s="9">
        <v>1</v>
      </c>
      <c r="K628" s="9">
        <v>912</v>
      </c>
      <c r="L628" s="9">
        <v>2020</v>
      </c>
      <c r="M628" s="8" t="s">
        <v>3756</v>
      </c>
      <c r="N628" s="8" t="s">
        <v>41</v>
      </c>
      <c r="O628" s="8" t="s">
        <v>97</v>
      </c>
      <c r="P628" s="6" t="s">
        <v>67</v>
      </c>
      <c r="Q628" s="8" t="s">
        <v>86</v>
      </c>
      <c r="R628" s="10" t="s">
        <v>3757</v>
      </c>
      <c r="S628" s="11" t="s">
        <v>3758</v>
      </c>
      <c r="T628" s="6"/>
      <c r="U628" s="28" t="str">
        <f>HYPERLINK("https://media.infra-m.ru/1943/1943508/cover/1943508.jpg", "Обложка")</f>
        <v>Обложка</v>
      </c>
      <c r="V628" s="28" t="str">
        <f>HYPERLINK("https://znanium.com/catalog/product/1932278", "Ознакомиться")</f>
        <v>Ознакомиться</v>
      </c>
      <c r="W628" s="8" t="s">
        <v>3759</v>
      </c>
      <c r="X628" s="6"/>
      <c r="Y628" s="6"/>
      <c r="Z628" s="6"/>
      <c r="AA628" s="6" t="s">
        <v>3760</v>
      </c>
    </row>
    <row r="629" spans="1:27" s="4" customFormat="1" ht="51.95" customHeight="1">
      <c r="A629" s="5">
        <v>0</v>
      </c>
      <c r="B629" s="6" t="s">
        <v>3761</v>
      </c>
      <c r="C629" s="7">
        <v>960</v>
      </c>
      <c r="D629" s="8" t="s">
        <v>3762</v>
      </c>
      <c r="E629" s="8" t="s">
        <v>3763</v>
      </c>
      <c r="F629" s="8" t="s">
        <v>3764</v>
      </c>
      <c r="G629" s="6" t="s">
        <v>63</v>
      </c>
      <c r="H629" s="6" t="s">
        <v>64</v>
      </c>
      <c r="I629" s="8" t="s">
        <v>65</v>
      </c>
      <c r="J629" s="9">
        <v>1</v>
      </c>
      <c r="K629" s="9">
        <v>201</v>
      </c>
      <c r="L629" s="9">
        <v>2024</v>
      </c>
      <c r="M629" s="8" t="s">
        <v>3765</v>
      </c>
      <c r="N629" s="8" t="s">
        <v>41</v>
      </c>
      <c r="O629" s="8" t="s">
        <v>97</v>
      </c>
      <c r="P629" s="6" t="s">
        <v>67</v>
      </c>
      <c r="Q629" s="8" t="s">
        <v>55</v>
      </c>
      <c r="R629" s="10" t="s">
        <v>3766</v>
      </c>
      <c r="S629" s="11" t="s">
        <v>3767</v>
      </c>
      <c r="T629" s="6"/>
      <c r="U629" s="28" t="str">
        <f>HYPERLINK("https://media.infra-m.ru/2102/2102662/cover/2102662.jpg", "Обложка")</f>
        <v>Обложка</v>
      </c>
      <c r="V629" s="28" t="str">
        <f>HYPERLINK("https://znanium.com/catalog/product/2102662", "Ознакомиться")</f>
        <v>Ознакомиться</v>
      </c>
      <c r="W629" s="8" t="s">
        <v>120</v>
      </c>
      <c r="X629" s="6"/>
      <c r="Y629" s="6"/>
      <c r="Z629" s="6"/>
      <c r="AA629" s="6" t="s">
        <v>58</v>
      </c>
    </row>
    <row r="630" spans="1:27" s="4" customFormat="1" ht="51.95" customHeight="1">
      <c r="A630" s="5">
        <v>0</v>
      </c>
      <c r="B630" s="6" t="s">
        <v>3768</v>
      </c>
      <c r="C630" s="7">
        <v>464.9</v>
      </c>
      <c r="D630" s="8" t="s">
        <v>3769</v>
      </c>
      <c r="E630" s="8" t="s">
        <v>3770</v>
      </c>
      <c r="F630" s="8" t="s">
        <v>2212</v>
      </c>
      <c r="G630" s="6" t="s">
        <v>37</v>
      </c>
      <c r="H630" s="6" t="s">
        <v>64</v>
      </c>
      <c r="I630" s="8" t="s">
        <v>83</v>
      </c>
      <c r="J630" s="9">
        <v>1</v>
      </c>
      <c r="K630" s="9">
        <v>175</v>
      </c>
      <c r="L630" s="9">
        <v>2018</v>
      </c>
      <c r="M630" s="8" t="s">
        <v>3771</v>
      </c>
      <c r="N630" s="8" t="s">
        <v>41</v>
      </c>
      <c r="O630" s="8" t="s">
        <v>97</v>
      </c>
      <c r="P630" s="6" t="s">
        <v>54</v>
      </c>
      <c r="Q630" s="8" t="s">
        <v>86</v>
      </c>
      <c r="R630" s="10" t="s">
        <v>3772</v>
      </c>
      <c r="S630" s="11" t="s">
        <v>646</v>
      </c>
      <c r="T630" s="6"/>
      <c r="U630" s="28" t="str">
        <f>HYPERLINK("https://media.infra-m.ru/0959/0959988/cover/959988.jpg", "Обложка")</f>
        <v>Обложка</v>
      </c>
      <c r="V630" s="28" t="str">
        <f>HYPERLINK("https://znanium.com/catalog/product/959988", "Ознакомиться")</f>
        <v>Ознакомиться</v>
      </c>
      <c r="W630" s="8" t="s">
        <v>1291</v>
      </c>
      <c r="X630" s="6"/>
      <c r="Y630" s="6"/>
      <c r="Z630" s="6"/>
      <c r="AA630" s="6" t="s">
        <v>78</v>
      </c>
    </row>
    <row r="631" spans="1:27" s="4" customFormat="1" ht="51.95" customHeight="1">
      <c r="A631" s="5">
        <v>0</v>
      </c>
      <c r="B631" s="6" t="s">
        <v>3773</v>
      </c>
      <c r="C631" s="13">
        <v>1474.9</v>
      </c>
      <c r="D631" s="8" t="s">
        <v>3774</v>
      </c>
      <c r="E631" s="8" t="s">
        <v>3775</v>
      </c>
      <c r="F631" s="8" t="s">
        <v>3776</v>
      </c>
      <c r="G631" s="6" t="s">
        <v>95</v>
      </c>
      <c r="H631" s="6" t="s">
        <v>347</v>
      </c>
      <c r="I631" s="8"/>
      <c r="J631" s="9">
        <v>1</v>
      </c>
      <c r="K631" s="9">
        <v>352</v>
      </c>
      <c r="L631" s="9">
        <v>2023</v>
      </c>
      <c r="M631" s="8" t="s">
        <v>3777</v>
      </c>
      <c r="N631" s="8" t="s">
        <v>41</v>
      </c>
      <c r="O631" s="8" t="s">
        <v>97</v>
      </c>
      <c r="P631" s="6" t="s">
        <v>67</v>
      </c>
      <c r="Q631" s="8" t="s">
        <v>86</v>
      </c>
      <c r="R631" s="10" t="s">
        <v>3778</v>
      </c>
      <c r="S631" s="11" t="s">
        <v>3779</v>
      </c>
      <c r="T631" s="6"/>
      <c r="U631" s="28" t="str">
        <f>HYPERLINK("https://media.infra-m.ru/1891/1891638/cover/1891638.jpg", "Обложка")</f>
        <v>Обложка</v>
      </c>
      <c r="V631" s="28" t="str">
        <f>HYPERLINK("https://znanium.com/catalog/product/1145347", "Ознакомиться")</f>
        <v>Ознакомиться</v>
      </c>
      <c r="W631" s="8" t="s">
        <v>120</v>
      </c>
      <c r="X631" s="6"/>
      <c r="Y631" s="6"/>
      <c r="Z631" s="6"/>
      <c r="AA631" s="6" t="s">
        <v>610</v>
      </c>
    </row>
    <row r="632" spans="1:27" s="4" customFormat="1" ht="51.95" customHeight="1">
      <c r="A632" s="5">
        <v>0</v>
      </c>
      <c r="B632" s="6" t="s">
        <v>3780</v>
      </c>
      <c r="C632" s="13">
        <v>1280</v>
      </c>
      <c r="D632" s="8" t="s">
        <v>3781</v>
      </c>
      <c r="E632" s="8" t="s">
        <v>3782</v>
      </c>
      <c r="F632" s="8" t="s">
        <v>3783</v>
      </c>
      <c r="G632" s="6" t="s">
        <v>63</v>
      </c>
      <c r="H632" s="6" t="s">
        <v>64</v>
      </c>
      <c r="I632" s="8" t="s">
        <v>83</v>
      </c>
      <c r="J632" s="9">
        <v>1</v>
      </c>
      <c r="K632" s="9">
        <v>285</v>
      </c>
      <c r="L632" s="9">
        <v>2023</v>
      </c>
      <c r="M632" s="8" t="s">
        <v>3784</v>
      </c>
      <c r="N632" s="8" t="s">
        <v>41</v>
      </c>
      <c r="O632" s="8" t="s">
        <v>97</v>
      </c>
      <c r="P632" s="6" t="s">
        <v>54</v>
      </c>
      <c r="Q632" s="8" t="s">
        <v>86</v>
      </c>
      <c r="R632" s="10" t="s">
        <v>767</v>
      </c>
      <c r="S632" s="11" t="s">
        <v>3785</v>
      </c>
      <c r="T632" s="6"/>
      <c r="U632" s="28" t="str">
        <f>HYPERLINK("https://media.infra-m.ru/1932/1932277/cover/1932277.jpg", "Обложка")</f>
        <v>Обложка</v>
      </c>
      <c r="V632" s="28" t="str">
        <f>HYPERLINK("https://znanium.com/catalog/product/1932277", "Ознакомиться")</f>
        <v>Ознакомиться</v>
      </c>
      <c r="W632" s="8" t="s">
        <v>1454</v>
      </c>
      <c r="X632" s="6"/>
      <c r="Y632" s="6"/>
      <c r="Z632" s="6"/>
      <c r="AA632" s="6" t="s">
        <v>401</v>
      </c>
    </row>
    <row r="633" spans="1:27" s="4" customFormat="1" ht="51.95" customHeight="1">
      <c r="A633" s="5">
        <v>0</v>
      </c>
      <c r="B633" s="6" t="s">
        <v>3786</v>
      </c>
      <c r="C633" s="13">
        <v>1424.9</v>
      </c>
      <c r="D633" s="8" t="s">
        <v>3787</v>
      </c>
      <c r="E633" s="8" t="s">
        <v>3782</v>
      </c>
      <c r="F633" s="8" t="s">
        <v>3788</v>
      </c>
      <c r="G633" s="6" t="s">
        <v>95</v>
      </c>
      <c r="H633" s="6" t="s">
        <v>64</v>
      </c>
      <c r="I633" s="8" t="s">
        <v>83</v>
      </c>
      <c r="J633" s="9">
        <v>1</v>
      </c>
      <c r="K633" s="9">
        <v>375</v>
      </c>
      <c r="L633" s="9">
        <v>2022</v>
      </c>
      <c r="M633" s="8" t="s">
        <v>3789</v>
      </c>
      <c r="N633" s="8" t="s">
        <v>41</v>
      </c>
      <c r="O633" s="8" t="s">
        <v>97</v>
      </c>
      <c r="P633" s="6" t="s">
        <v>67</v>
      </c>
      <c r="Q633" s="8" t="s">
        <v>86</v>
      </c>
      <c r="R633" s="10" t="s">
        <v>172</v>
      </c>
      <c r="S633" s="11" t="s">
        <v>3649</v>
      </c>
      <c r="T633" s="6"/>
      <c r="U633" s="28" t="str">
        <f>HYPERLINK("https://media.infra-m.ru/1844/1844294/cover/1844294.jpg", "Обложка")</f>
        <v>Обложка</v>
      </c>
      <c r="V633" s="28" t="str">
        <f>HYPERLINK("https://znanium.com/catalog/product/1072215", "Ознакомиться")</f>
        <v>Ознакомиться</v>
      </c>
      <c r="W633" s="8" t="s">
        <v>120</v>
      </c>
      <c r="X633" s="6"/>
      <c r="Y633" s="6"/>
      <c r="Z633" s="6"/>
      <c r="AA633" s="6" t="s">
        <v>47</v>
      </c>
    </row>
    <row r="634" spans="1:27" s="4" customFormat="1" ht="51.95" customHeight="1">
      <c r="A634" s="5">
        <v>0</v>
      </c>
      <c r="B634" s="6" t="s">
        <v>3790</v>
      </c>
      <c r="C634" s="13">
        <v>1084.9000000000001</v>
      </c>
      <c r="D634" s="8" t="s">
        <v>3791</v>
      </c>
      <c r="E634" s="8" t="s">
        <v>3782</v>
      </c>
      <c r="F634" s="8" t="s">
        <v>3783</v>
      </c>
      <c r="G634" s="6" t="s">
        <v>95</v>
      </c>
      <c r="H634" s="6" t="s">
        <v>64</v>
      </c>
      <c r="I634" s="8" t="s">
        <v>192</v>
      </c>
      <c r="J634" s="9">
        <v>1</v>
      </c>
      <c r="K634" s="9">
        <v>285</v>
      </c>
      <c r="L634" s="9">
        <v>2023</v>
      </c>
      <c r="M634" s="8" t="s">
        <v>3792</v>
      </c>
      <c r="N634" s="8" t="s">
        <v>41</v>
      </c>
      <c r="O634" s="8" t="s">
        <v>97</v>
      </c>
      <c r="P634" s="6" t="s">
        <v>54</v>
      </c>
      <c r="Q634" s="8" t="s">
        <v>194</v>
      </c>
      <c r="R634" s="10" t="s">
        <v>767</v>
      </c>
      <c r="S634" s="11" t="s">
        <v>3793</v>
      </c>
      <c r="T634" s="6"/>
      <c r="U634" s="28" t="str">
        <f>HYPERLINK("https://media.infra-m.ru/1843/1843264/cover/1843264.jpg", "Обложка")</f>
        <v>Обложка</v>
      </c>
      <c r="V634" s="28" t="str">
        <f>HYPERLINK("https://znanium.com/catalog/product/1843215", "Ознакомиться")</f>
        <v>Ознакомиться</v>
      </c>
      <c r="W634" s="8" t="s">
        <v>1454</v>
      </c>
      <c r="X634" s="6"/>
      <c r="Y634" s="6"/>
      <c r="Z634" s="6" t="s">
        <v>197</v>
      </c>
      <c r="AA634" s="6" t="s">
        <v>401</v>
      </c>
    </row>
    <row r="635" spans="1:27" s="4" customFormat="1" ht="51.95" customHeight="1">
      <c r="A635" s="5">
        <v>0</v>
      </c>
      <c r="B635" s="6" t="s">
        <v>3794</v>
      </c>
      <c r="C635" s="13">
        <v>1104</v>
      </c>
      <c r="D635" s="8" t="s">
        <v>3795</v>
      </c>
      <c r="E635" s="8" t="s">
        <v>3796</v>
      </c>
      <c r="F635" s="8" t="s">
        <v>919</v>
      </c>
      <c r="G635" s="6" t="s">
        <v>95</v>
      </c>
      <c r="H635" s="6" t="s">
        <v>64</v>
      </c>
      <c r="I635" s="8" t="s">
        <v>185</v>
      </c>
      <c r="J635" s="9">
        <v>1</v>
      </c>
      <c r="K635" s="9">
        <v>240</v>
      </c>
      <c r="L635" s="9">
        <v>2024</v>
      </c>
      <c r="M635" s="8" t="s">
        <v>3797</v>
      </c>
      <c r="N635" s="8" t="s">
        <v>41</v>
      </c>
      <c r="O635" s="8" t="s">
        <v>97</v>
      </c>
      <c r="P635" s="6" t="s">
        <v>54</v>
      </c>
      <c r="Q635" s="8" t="s">
        <v>86</v>
      </c>
      <c r="R635" s="10" t="s">
        <v>3798</v>
      </c>
      <c r="S635" s="11" t="s">
        <v>3799</v>
      </c>
      <c r="T635" s="6"/>
      <c r="U635" s="28" t="str">
        <f>HYPERLINK("https://media.infra-m.ru/2056/2056616/cover/2056616.jpg", "Обложка")</f>
        <v>Обложка</v>
      </c>
      <c r="V635" s="28" t="str">
        <f>HYPERLINK("https://znanium.com/catalog/product/1832277", "Ознакомиться")</f>
        <v>Ознакомиться</v>
      </c>
      <c r="W635" s="8" t="s">
        <v>110</v>
      </c>
      <c r="X635" s="6"/>
      <c r="Y635" s="6"/>
      <c r="Z635" s="6"/>
      <c r="AA635" s="6" t="s">
        <v>632</v>
      </c>
    </row>
    <row r="636" spans="1:27" s="4" customFormat="1" ht="42" customHeight="1">
      <c r="A636" s="5">
        <v>0</v>
      </c>
      <c r="B636" s="6" t="s">
        <v>3800</v>
      </c>
      <c r="C636" s="7">
        <v>904</v>
      </c>
      <c r="D636" s="8" t="s">
        <v>3801</v>
      </c>
      <c r="E636" s="8" t="s">
        <v>3802</v>
      </c>
      <c r="F636" s="8" t="s">
        <v>3803</v>
      </c>
      <c r="G636" s="6" t="s">
        <v>37</v>
      </c>
      <c r="H636" s="6" t="s">
        <v>38</v>
      </c>
      <c r="I636" s="8" t="s">
        <v>330</v>
      </c>
      <c r="J636" s="9">
        <v>1</v>
      </c>
      <c r="K636" s="9">
        <v>202</v>
      </c>
      <c r="L636" s="9">
        <v>2023</v>
      </c>
      <c r="M636" s="8" t="s">
        <v>3804</v>
      </c>
      <c r="N636" s="8" t="s">
        <v>41</v>
      </c>
      <c r="O636" s="8" t="s">
        <v>97</v>
      </c>
      <c r="P636" s="6" t="s">
        <v>67</v>
      </c>
      <c r="Q636" s="8" t="s">
        <v>194</v>
      </c>
      <c r="R636" s="10" t="s">
        <v>3805</v>
      </c>
      <c r="S636" s="11"/>
      <c r="T636" s="6"/>
      <c r="U636" s="28" t="str">
        <f>HYPERLINK("https://media.infra-m.ru/2002/2002590/cover/2002590.jpg", "Обложка")</f>
        <v>Обложка</v>
      </c>
      <c r="V636" s="28" t="str">
        <f>HYPERLINK("https://znanium.com/catalog/product/1133354", "Ознакомиться")</f>
        <v>Ознакомиться</v>
      </c>
      <c r="W636" s="8" t="s">
        <v>2095</v>
      </c>
      <c r="X636" s="6"/>
      <c r="Y636" s="6"/>
      <c r="Z636" s="6"/>
      <c r="AA636" s="6" t="s">
        <v>206</v>
      </c>
    </row>
    <row r="637" spans="1:27" s="4" customFormat="1" ht="51.95" customHeight="1">
      <c r="A637" s="5">
        <v>0</v>
      </c>
      <c r="B637" s="6" t="s">
        <v>3806</v>
      </c>
      <c r="C637" s="13">
        <v>1744.9</v>
      </c>
      <c r="D637" s="8" t="s">
        <v>3807</v>
      </c>
      <c r="E637" s="8" t="s">
        <v>3808</v>
      </c>
      <c r="F637" s="8" t="s">
        <v>2212</v>
      </c>
      <c r="G637" s="6" t="s">
        <v>63</v>
      </c>
      <c r="H637" s="6" t="s">
        <v>64</v>
      </c>
      <c r="I637" s="8" t="s">
        <v>83</v>
      </c>
      <c r="J637" s="9">
        <v>1</v>
      </c>
      <c r="K637" s="9">
        <v>386</v>
      </c>
      <c r="L637" s="9">
        <v>2021</v>
      </c>
      <c r="M637" s="8" t="s">
        <v>3809</v>
      </c>
      <c r="N637" s="8" t="s">
        <v>41</v>
      </c>
      <c r="O637" s="8" t="s">
        <v>85</v>
      </c>
      <c r="P637" s="6" t="s">
        <v>67</v>
      </c>
      <c r="Q637" s="8" t="s">
        <v>86</v>
      </c>
      <c r="R637" s="10" t="s">
        <v>3810</v>
      </c>
      <c r="S637" s="11" t="s">
        <v>417</v>
      </c>
      <c r="T637" s="6"/>
      <c r="U637" s="28" t="str">
        <f>HYPERLINK("https://media.infra-m.ru/1971/1971819/cover/1971819.jpg", "Обложка")</f>
        <v>Обложка</v>
      </c>
      <c r="V637" s="28" t="str">
        <f>HYPERLINK("https://znanium.com/catalog/product/1932275", "Ознакомиться")</f>
        <v>Ознакомиться</v>
      </c>
      <c r="W637" s="8" t="s">
        <v>1291</v>
      </c>
      <c r="X637" s="6"/>
      <c r="Y637" s="6"/>
      <c r="Z637" s="6"/>
      <c r="AA637" s="6" t="s">
        <v>127</v>
      </c>
    </row>
    <row r="638" spans="1:27" s="4" customFormat="1" ht="51.95" customHeight="1">
      <c r="A638" s="5">
        <v>0</v>
      </c>
      <c r="B638" s="6" t="s">
        <v>3811</v>
      </c>
      <c r="C638" s="13">
        <v>1294.9000000000001</v>
      </c>
      <c r="D638" s="8" t="s">
        <v>3812</v>
      </c>
      <c r="E638" s="8" t="s">
        <v>3802</v>
      </c>
      <c r="F638" s="8" t="s">
        <v>3813</v>
      </c>
      <c r="G638" s="6" t="s">
        <v>63</v>
      </c>
      <c r="H638" s="6" t="s">
        <v>64</v>
      </c>
      <c r="I638" s="8" t="s">
        <v>3814</v>
      </c>
      <c r="J638" s="9">
        <v>1</v>
      </c>
      <c r="K638" s="9">
        <v>382</v>
      </c>
      <c r="L638" s="9">
        <v>2020</v>
      </c>
      <c r="M638" s="8" t="s">
        <v>3815</v>
      </c>
      <c r="N638" s="8" t="s">
        <v>41</v>
      </c>
      <c r="O638" s="8" t="s">
        <v>97</v>
      </c>
      <c r="P638" s="6" t="s">
        <v>54</v>
      </c>
      <c r="Q638" s="8" t="s">
        <v>86</v>
      </c>
      <c r="R638" s="10"/>
      <c r="S638" s="11" t="s">
        <v>3816</v>
      </c>
      <c r="T638" s="6"/>
      <c r="U638" s="28" t="str">
        <f>HYPERLINK("https://media.infra-m.ru/1044/1044529/cover/1044529.jpg", "Обложка")</f>
        <v>Обложка</v>
      </c>
      <c r="V638" s="12"/>
      <c r="W638" s="8" t="s">
        <v>3014</v>
      </c>
      <c r="X638" s="6"/>
      <c r="Y638" s="6"/>
      <c r="Z638" s="6"/>
      <c r="AA638" s="6" t="s">
        <v>71</v>
      </c>
    </row>
    <row r="639" spans="1:27" s="4" customFormat="1" ht="51.95" customHeight="1">
      <c r="A639" s="5">
        <v>0</v>
      </c>
      <c r="B639" s="6" t="s">
        <v>3817</v>
      </c>
      <c r="C639" s="7">
        <v>604.9</v>
      </c>
      <c r="D639" s="8" t="s">
        <v>3818</v>
      </c>
      <c r="E639" s="8" t="s">
        <v>3819</v>
      </c>
      <c r="F639" s="8" t="s">
        <v>3820</v>
      </c>
      <c r="G639" s="6" t="s">
        <v>37</v>
      </c>
      <c r="H639" s="6" t="s">
        <v>357</v>
      </c>
      <c r="I639" s="8" t="s">
        <v>83</v>
      </c>
      <c r="J639" s="9">
        <v>1</v>
      </c>
      <c r="K639" s="9">
        <v>199</v>
      </c>
      <c r="L639" s="9">
        <v>2019</v>
      </c>
      <c r="M639" s="8" t="s">
        <v>3821</v>
      </c>
      <c r="N639" s="8" t="s">
        <v>41</v>
      </c>
      <c r="O639" s="8" t="s">
        <v>97</v>
      </c>
      <c r="P639" s="6" t="s">
        <v>54</v>
      </c>
      <c r="Q639" s="8" t="s">
        <v>86</v>
      </c>
      <c r="R639" s="10" t="s">
        <v>3822</v>
      </c>
      <c r="S639" s="11" t="s">
        <v>3823</v>
      </c>
      <c r="T639" s="6"/>
      <c r="U639" s="28" t="str">
        <f>HYPERLINK("https://media.infra-m.ru/1002/1002037/cover/1002037.jpg", "Обложка")</f>
        <v>Обложка</v>
      </c>
      <c r="V639" s="28" t="str">
        <f>HYPERLINK("https://znanium.com/catalog/product/1480608", "Ознакомиться")</f>
        <v>Ознакомиться</v>
      </c>
      <c r="W639" s="8" t="s">
        <v>1575</v>
      </c>
      <c r="X639" s="6"/>
      <c r="Y639" s="6"/>
      <c r="Z639" s="6"/>
      <c r="AA639" s="6" t="s">
        <v>317</v>
      </c>
    </row>
    <row r="640" spans="1:27" s="4" customFormat="1" ht="51.95" customHeight="1">
      <c r="A640" s="5">
        <v>0</v>
      </c>
      <c r="B640" s="6" t="s">
        <v>3824</v>
      </c>
      <c r="C640" s="13">
        <v>1550</v>
      </c>
      <c r="D640" s="8" t="s">
        <v>3825</v>
      </c>
      <c r="E640" s="8" t="s">
        <v>3826</v>
      </c>
      <c r="F640" s="8" t="s">
        <v>3827</v>
      </c>
      <c r="G640" s="6" t="s">
        <v>63</v>
      </c>
      <c r="H640" s="6" t="s">
        <v>329</v>
      </c>
      <c r="I640" s="8" t="s">
        <v>192</v>
      </c>
      <c r="J640" s="9">
        <v>1</v>
      </c>
      <c r="K640" s="9">
        <v>336</v>
      </c>
      <c r="L640" s="9">
        <v>2023</v>
      </c>
      <c r="M640" s="8" t="s">
        <v>3828</v>
      </c>
      <c r="N640" s="8" t="s">
        <v>41</v>
      </c>
      <c r="O640" s="8" t="s">
        <v>97</v>
      </c>
      <c r="P640" s="6" t="s">
        <v>67</v>
      </c>
      <c r="Q640" s="8" t="s">
        <v>194</v>
      </c>
      <c r="R640" s="10" t="s">
        <v>3397</v>
      </c>
      <c r="S640" s="11" t="s">
        <v>3829</v>
      </c>
      <c r="T640" s="6"/>
      <c r="U640" s="28" t="str">
        <f>HYPERLINK("https://media.infra-m.ru/1959/1959238/cover/1959238.jpg", "Обложка")</f>
        <v>Обложка</v>
      </c>
      <c r="V640" s="28" t="str">
        <f>HYPERLINK("https://znanium.com/catalog/product/1959238", "Ознакомиться")</f>
        <v>Ознакомиться</v>
      </c>
      <c r="W640" s="8" t="s">
        <v>110</v>
      </c>
      <c r="X640" s="6"/>
      <c r="Y640" s="6"/>
      <c r="Z640" s="6"/>
      <c r="AA640" s="6" t="s">
        <v>3830</v>
      </c>
    </row>
    <row r="641" spans="1:27" s="4" customFormat="1" ht="33" customHeight="1">
      <c r="A641" s="5">
        <v>0</v>
      </c>
      <c r="B641" s="6" t="s">
        <v>3831</v>
      </c>
      <c r="C641" s="7">
        <v>134.9</v>
      </c>
      <c r="D641" s="8" t="s">
        <v>3832</v>
      </c>
      <c r="E641" s="8" t="s">
        <v>3833</v>
      </c>
      <c r="F641" s="8"/>
      <c r="G641" s="6" t="s">
        <v>37</v>
      </c>
      <c r="H641" s="6" t="s">
        <v>38</v>
      </c>
      <c r="I641" s="8" t="s">
        <v>303</v>
      </c>
      <c r="J641" s="9">
        <v>1</v>
      </c>
      <c r="K641" s="9">
        <v>128</v>
      </c>
      <c r="L641" s="9">
        <v>2017</v>
      </c>
      <c r="M641" s="8" t="s">
        <v>3834</v>
      </c>
      <c r="N641" s="8" t="s">
        <v>41</v>
      </c>
      <c r="O641" s="8" t="s">
        <v>97</v>
      </c>
      <c r="P641" s="6" t="s">
        <v>305</v>
      </c>
      <c r="Q641" s="8" t="s">
        <v>86</v>
      </c>
      <c r="R641" s="10" t="s">
        <v>142</v>
      </c>
      <c r="S641" s="11"/>
      <c r="T641" s="6"/>
      <c r="U641" s="12"/>
      <c r="V641" s="12"/>
      <c r="W641" s="8"/>
      <c r="X641" s="6"/>
      <c r="Y641" s="6"/>
      <c r="Z641" s="6"/>
      <c r="AA641" s="6" t="s">
        <v>307</v>
      </c>
    </row>
    <row r="642" spans="1:27" s="4" customFormat="1" ht="51.95" customHeight="1">
      <c r="A642" s="5">
        <v>0</v>
      </c>
      <c r="B642" s="6" t="s">
        <v>3835</v>
      </c>
      <c r="C642" s="13">
        <v>1904</v>
      </c>
      <c r="D642" s="8" t="s">
        <v>3836</v>
      </c>
      <c r="E642" s="8" t="s">
        <v>3833</v>
      </c>
      <c r="F642" s="8" t="s">
        <v>2762</v>
      </c>
      <c r="G642" s="6" t="s">
        <v>63</v>
      </c>
      <c r="H642" s="6" t="s">
        <v>357</v>
      </c>
      <c r="I642" s="8" t="s">
        <v>330</v>
      </c>
      <c r="J642" s="9">
        <v>1</v>
      </c>
      <c r="K642" s="9">
        <v>414</v>
      </c>
      <c r="L642" s="9">
        <v>2023</v>
      </c>
      <c r="M642" s="8" t="s">
        <v>3837</v>
      </c>
      <c r="N642" s="8" t="s">
        <v>41</v>
      </c>
      <c r="O642" s="8" t="s">
        <v>97</v>
      </c>
      <c r="P642" s="6" t="s">
        <v>67</v>
      </c>
      <c r="Q642" s="8" t="s">
        <v>194</v>
      </c>
      <c r="R642" s="10" t="s">
        <v>3397</v>
      </c>
      <c r="S642" s="11" t="s">
        <v>2327</v>
      </c>
      <c r="T642" s="6"/>
      <c r="U642" s="28" t="str">
        <f>HYPERLINK("https://media.infra-m.ru/2054/2054959/cover/2054959.jpg", "Обложка")</f>
        <v>Обложка</v>
      </c>
      <c r="V642" s="28" t="str">
        <f>HYPERLINK("https://znanium.com/catalog/product/1215825", "Ознакомиться")</f>
        <v>Ознакомиться</v>
      </c>
      <c r="W642" s="8" t="s">
        <v>120</v>
      </c>
      <c r="X642" s="6"/>
      <c r="Y642" s="6"/>
      <c r="Z642" s="6"/>
      <c r="AA642" s="6" t="s">
        <v>3760</v>
      </c>
    </row>
    <row r="643" spans="1:27" s="4" customFormat="1" ht="51.95" customHeight="1">
      <c r="A643" s="5">
        <v>0</v>
      </c>
      <c r="B643" s="6" t="s">
        <v>3838</v>
      </c>
      <c r="C643" s="13">
        <v>2750</v>
      </c>
      <c r="D643" s="8" t="s">
        <v>3839</v>
      </c>
      <c r="E643" s="8" t="s">
        <v>3840</v>
      </c>
      <c r="F643" s="8" t="s">
        <v>3841</v>
      </c>
      <c r="G643" s="6" t="s">
        <v>63</v>
      </c>
      <c r="H643" s="6" t="s">
        <v>64</v>
      </c>
      <c r="I643" s="8" t="s">
        <v>185</v>
      </c>
      <c r="J643" s="9">
        <v>1</v>
      </c>
      <c r="K643" s="9">
        <v>609</v>
      </c>
      <c r="L643" s="9">
        <v>2023</v>
      </c>
      <c r="M643" s="8" t="s">
        <v>3842</v>
      </c>
      <c r="N643" s="8" t="s">
        <v>41</v>
      </c>
      <c r="O643" s="8" t="s">
        <v>97</v>
      </c>
      <c r="P643" s="6" t="s">
        <v>67</v>
      </c>
      <c r="Q643" s="8" t="s">
        <v>86</v>
      </c>
      <c r="R643" s="10" t="s">
        <v>3843</v>
      </c>
      <c r="S643" s="11" t="s">
        <v>3844</v>
      </c>
      <c r="T643" s="6" t="s">
        <v>144</v>
      </c>
      <c r="U643" s="28" t="str">
        <f>HYPERLINK("https://media.infra-m.ru/2006/2006082/cover/2006082.jpg", "Обложка")</f>
        <v>Обложка</v>
      </c>
      <c r="V643" s="28" t="str">
        <f>HYPERLINK("https://znanium.com/catalog/product/2006082", "Ознакомиться")</f>
        <v>Ознакомиться</v>
      </c>
      <c r="W643" s="8" t="s">
        <v>3845</v>
      </c>
      <c r="X643" s="6"/>
      <c r="Y643" s="6"/>
      <c r="Z643" s="6"/>
      <c r="AA643" s="6" t="s">
        <v>1304</v>
      </c>
    </row>
    <row r="644" spans="1:27" s="4" customFormat="1" ht="51.95" customHeight="1">
      <c r="A644" s="5">
        <v>0</v>
      </c>
      <c r="B644" s="6" t="s">
        <v>3846</v>
      </c>
      <c r="C644" s="13">
        <v>2374.9</v>
      </c>
      <c r="D644" s="8" t="s">
        <v>3847</v>
      </c>
      <c r="E644" s="8" t="s">
        <v>3848</v>
      </c>
      <c r="F644" s="8" t="s">
        <v>1390</v>
      </c>
      <c r="G644" s="6" t="s">
        <v>95</v>
      </c>
      <c r="H644" s="6" t="s">
        <v>347</v>
      </c>
      <c r="I644" s="8"/>
      <c r="J644" s="9">
        <v>1</v>
      </c>
      <c r="K644" s="9">
        <v>528</v>
      </c>
      <c r="L644" s="9">
        <v>2023</v>
      </c>
      <c r="M644" s="8" t="s">
        <v>3849</v>
      </c>
      <c r="N644" s="8" t="s">
        <v>41</v>
      </c>
      <c r="O644" s="8" t="s">
        <v>97</v>
      </c>
      <c r="P644" s="6" t="s">
        <v>54</v>
      </c>
      <c r="Q644" s="8" t="s">
        <v>86</v>
      </c>
      <c r="R644" s="10" t="s">
        <v>3850</v>
      </c>
      <c r="S644" s="11" t="s">
        <v>1393</v>
      </c>
      <c r="T644" s="6"/>
      <c r="U644" s="28" t="str">
        <f>HYPERLINK("https://media.infra-m.ru/1893/1893637/cover/1893637.jpg", "Обложка")</f>
        <v>Обложка</v>
      </c>
      <c r="V644" s="28" t="str">
        <f>HYPERLINK("https://znanium.com/catalog/product/1068846", "Ознакомиться")</f>
        <v>Ознакомиться</v>
      </c>
      <c r="W644" s="8" t="s">
        <v>110</v>
      </c>
      <c r="X644" s="6"/>
      <c r="Y644" s="6"/>
      <c r="Z644" s="6"/>
      <c r="AA644" s="6" t="s">
        <v>2349</v>
      </c>
    </row>
    <row r="645" spans="1:27" s="4" customFormat="1" ht="42" customHeight="1">
      <c r="A645" s="5">
        <v>0</v>
      </c>
      <c r="B645" s="6" t="s">
        <v>3851</v>
      </c>
      <c r="C645" s="13">
        <v>1270</v>
      </c>
      <c r="D645" s="8" t="s">
        <v>3852</v>
      </c>
      <c r="E645" s="8" t="s">
        <v>3848</v>
      </c>
      <c r="F645" s="8" t="s">
        <v>2394</v>
      </c>
      <c r="G645" s="6" t="s">
        <v>95</v>
      </c>
      <c r="H645" s="6" t="s">
        <v>64</v>
      </c>
      <c r="I645" s="8" t="s">
        <v>192</v>
      </c>
      <c r="J645" s="9">
        <v>1</v>
      </c>
      <c r="K645" s="9">
        <v>261</v>
      </c>
      <c r="L645" s="9">
        <v>2023</v>
      </c>
      <c r="M645" s="8" t="s">
        <v>3853</v>
      </c>
      <c r="N645" s="8" t="s">
        <v>41</v>
      </c>
      <c r="O645" s="8" t="s">
        <v>97</v>
      </c>
      <c r="P645" s="6" t="s">
        <v>54</v>
      </c>
      <c r="Q645" s="8" t="s">
        <v>194</v>
      </c>
      <c r="R645" s="10" t="s">
        <v>3507</v>
      </c>
      <c r="S645" s="11"/>
      <c r="T645" s="6"/>
      <c r="U645" s="28" t="str">
        <f>HYPERLINK("https://media.infra-m.ru/1550/1550594/cover/1550594.jpg", "Обложка")</f>
        <v>Обложка</v>
      </c>
      <c r="V645" s="28" t="str">
        <f>HYPERLINK("https://znanium.com/catalog/product/1550594", "Ознакомиться")</f>
        <v>Ознакомиться</v>
      </c>
      <c r="W645" s="8" t="s">
        <v>2397</v>
      </c>
      <c r="X645" s="6" t="s">
        <v>316</v>
      </c>
      <c r="Y645" s="6"/>
      <c r="Z645" s="6"/>
      <c r="AA645" s="6" t="s">
        <v>112</v>
      </c>
    </row>
    <row r="646" spans="1:27" s="4" customFormat="1" ht="51.95" customHeight="1">
      <c r="A646" s="5">
        <v>0</v>
      </c>
      <c r="B646" s="6" t="s">
        <v>3854</v>
      </c>
      <c r="C646" s="13">
        <v>2290</v>
      </c>
      <c r="D646" s="8" t="s">
        <v>3855</v>
      </c>
      <c r="E646" s="8" t="s">
        <v>3856</v>
      </c>
      <c r="F646" s="8" t="s">
        <v>1288</v>
      </c>
      <c r="G646" s="6" t="s">
        <v>95</v>
      </c>
      <c r="H646" s="6" t="s">
        <v>64</v>
      </c>
      <c r="I646" s="8" t="s">
        <v>83</v>
      </c>
      <c r="J646" s="9">
        <v>1</v>
      </c>
      <c r="K646" s="9">
        <v>528</v>
      </c>
      <c r="L646" s="9">
        <v>2023</v>
      </c>
      <c r="M646" s="8" t="s">
        <v>3857</v>
      </c>
      <c r="N646" s="8" t="s">
        <v>41</v>
      </c>
      <c r="O646" s="8" t="s">
        <v>97</v>
      </c>
      <c r="P646" s="6" t="s">
        <v>67</v>
      </c>
      <c r="Q646" s="8" t="s">
        <v>86</v>
      </c>
      <c r="R646" s="10" t="s">
        <v>3858</v>
      </c>
      <c r="S646" s="11" t="s">
        <v>2151</v>
      </c>
      <c r="T646" s="6"/>
      <c r="U646" s="28" t="str">
        <f>HYPERLINK("https://media.infra-m.ru/1456/1456979/cover/1456979.jpg", "Обложка")</f>
        <v>Обложка</v>
      </c>
      <c r="V646" s="28" t="str">
        <f>HYPERLINK("https://znanium.com/catalog/product/1456979", "Ознакомиться")</f>
        <v>Ознакомиться</v>
      </c>
      <c r="W646" s="8" t="s">
        <v>3859</v>
      </c>
      <c r="X646" s="6"/>
      <c r="Y646" s="6"/>
      <c r="Z646" s="6"/>
      <c r="AA646" s="6" t="s">
        <v>687</v>
      </c>
    </row>
    <row r="647" spans="1:27" s="4" customFormat="1" ht="44.1" customHeight="1">
      <c r="A647" s="5">
        <v>0</v>
      </c>
      <c r="B647" s="6" t="s">
        <v>3860</v>
      </c>
      <c r="C647" s="7">
        <v>804.9</v>
      </c>
      <c r="D647" s="8" t="s">
        <v>3861</v>
      </c>
      <c r="E647" s="8" t="s">
        <v>3856</v>
      </c>
      <c r="F647" s="8" t="s">
        <v>3862</v>
      </c>
      <c r="G647" s="6" t="s">
        <v>95</v>
      </c>
      <c r="H647" s="6" t="s">
        <v>125</v>
      </c>
      <c r="I647" s="8"/>
      <c r="J647" s="9">
        <v>1</v>
      </c>
      <c r="K647" s="9">
        <v>178</v>
      </c>
      <c r="L647" s="9">
        <v>2023</v>
      </c>
      <c r="M647" s="8" t="s">
        <v>3863</v>
      </c>
      <c r="N647" s="8" t="s">
        <v>41</v>
      </c>
      <c r="O647" s="8" t="s">
        <v>97</v>
      </c>
      <c r="P647" s="6" t="s">
        <v>67</v>
      </c>
      <c r="Q647" s="8" t="s">
        <v>86</v>
      </c>
      <c r="R647" s="10" t="s">
        <v>3864</v>
      </c>
      <c r="S647" s="11"/>
      <c r="T647" s="6"/>
      <c r="U647" s="28" t="str">
        <f>HYPERLINK("https://media.infra-m.ru/1907/1907540/cover/1907540.jpg", "Обложка")</f>
        <v>Обложка</v>
      </c>
      <c r="V647" s="28" t="str">
        <f>HYPERLINK("https://znanium.com/catalog/product/2124355", "Ознакомиться")</f>
        <v>Ознакомиться</v>
      </c>
      <c r="W647" s="8" t="s">
        <v>324</v>
      </c>
      <c r="X647" s="6"/>
      <c r="Y647" s="6"/>
      <c r="Z647" s="6"/>
      <c r="AA647" s="6" t="s">
        <v>78</v>
      </c>
    </row>
    <row r="648" spans="1:27" s="4" customFormat="1" ht="51.95" customHeight="1">
      <c r="A648" s="5">
        <v>0</v>
      </c>
      <c r="B648" s="6" t="s">
        <v>3865</v>
      </c>
      <c r="C648" s="13">
        <v>1550</v>
      </c>
      <c r="D648" s="8" t="s">
        <v>3866</v>
      </c>
      <c r="E648" s="8" t="s">
        <v>3867</v>
      </c>
      <c r="F648" s="8" t="s">
        <v>3868</v>
      </c>
      <c r="G648" s="6" t="s">
        <v>63</v>
      </c>
      <c r="H648" s="6" t="s">
        <v>347</v>
      </c>
      <c r="I648" s="8" t="s">
        <v>390</v>
      </c>
      <c r="J648" s="9">
        <v>1</v>
      </c>
      <c r="K648" s="9">
        <v>336</v>
      </c>
      <c r="L648" s="9">
        <v>2024</v>
      </c>
      <c r="M648" s="8" t="s">
        <v>3869</v>
      </c>
      <c r="N648" s="8" t="s">
        <v>41</v>
      </c>
      <c r="O648" s="8" t="s">
        <v>97</v>
      </c>
      <c r="P648" s="6" t="s">
        <v>67</v>
      </c>
      <c r="Q648" s="8" t="s">
        <v>86</v>
      </c>
      <c r="R648" s="10" t="s">
        <v>3870</v>
      </c>
      <c r="S648" s="11" t="s">
        <v>3871</v>
      </c>
      <c r="T648" s="6"/>
      <c r="U648" s="28" t="str">
        <f>HYPERLINK("https://media.infra-m.ru/2079/2079506/cover/2079506.jpg", "Обложка")</f>
        <v>Обложка</v>
      </c>
      <c r="V648" s="28" t="str">
        <f>HYPERLINK("https://znanium.com/catalog/product/2079506", "Ознакомиться")</f>
        <v>Ознакомиться</v>
      </c>
      <c r="W648" s="8" t="s">
        <v>120</v>
      </c>
      <c r="X648" s="6"/>
      <c r="Y648" s="6"/>
      <c r="Z648" s="6"/>
      <c r="AA648" s="6" t="s">
        <v>3464</v>
      </c>
    </row>
    <row r="649" spans="1:27" s="4" customFormat="1" ht="51.95" customHeight="1">
      <c r="A649" s="5">
        <v>0</v>
      </c>
      <c r="B649" s="6" t="s">
        <v>3872</v>
      </c>
      <c r="C649" s="13">
        <v>1924</v>
      </c>
      <c r="D649" s="8" t="s">
        <v>3873</v>
      </c>
      <c r="E649" s="8" t="s">
        <v>3856</v>
      </c>
      <c r="F649" s="8" t="s">
        <v>1390</v>
      </c>
      <c r="G649" s="6" t="s">
        <v>95</v>
      </c>
      <c r="H649" s="6" t="s">
        <v>347</v>
      </c>
      <c r="I649" s="8"/>
      <c r="J649" s="9">
        <v>1</v>
      </c>
      <c r="K649" s="9">
        <v>576</v>
      </c>
      <c r="L649" s="9">
        <v>2024</v>
      </c>
      <c r="M649" s="8" t="s">
        <v>3874</v>
      </c>
      <c r="N649" s="8" t="s">
        <v>41</v>
      </c>
      <c r="O649" s="8" t="s">
        <v>97</v>
      </c>
      <c r="P649" s="6" t="s">
        <v>54</v>
      </c>
      <c r="Q649" s="8" t="s">
        <v>86</v>
      </c>
      <c r="R649" s="10" t="s">
        <v>373</v>
      </c>
      <c r="S649" s="11" t="s">
        <v>3875</v>
      </c>
      <c r="T649" s="6"/>
      <c r="U649" s="28" t="str">
        <f>HYPERLINK("https://media.infra-m.ru/2079/2079630/cover/2079630.jpg", "Обложка")</f>
        <v>Обложка</v>
      </c>
      <c r="V649" s="28" t="str">
        <f>HYPERLINK("https://znanium.com/catalog/product/224601", "Ознакомиться")</f>
        <v>Ознакомиться</v>
      </c>
      <c r="W649" s="8" t="s">
        <v>110</v>
      </c>
      <c r="X649" s="6"/>
      <c r="Y649" s="6"/>
      <c r="Z649" s="6"/>
      <c r="AA649" s="6" t="s">
        <v>610</v>
      </c>
    </row>
    <row r="650" spans="1:27" s="4" customFormat="1" ht="51.95" customHeight="1">
      <c r="A650" s="5">
        <v>0</v>
      </c>
      <c r="B650" s="6" t="s">
        <v>3876</v>
      </c>
      <c r="C650" s="13">
        <v>1994</v>
      </c>
      <c r="D650" s="8" t="s">
        <v>3877</v>
      </c>
      <c r="E650" s="8" t="s">
        <v>3878</v>
      </c>
      <c r="F650" s="8" t="s">
        <v>3879</v>
      </c>
      <c r="G650" s="6" t="s">
        <v>63</v>
      </c>
      <c r="H650" s="6" t="s">
        <v>347</v>
      </c>
      <c r="I650" s="8" t="s">
        <v>390</v>
      </c>
      <c r="J650" s="9">
        <v>1</v>
      </c>
      <c r="K650" s="9">
        <v>448</v>
      </c>
      <c r="L650" s="9">
        <v>2023</v>
      </c>
      <c r="M650" s="8" t="s">
        <v>3880</v>
      </c>
      <c r="N650" s="8" t="s">
        <v>41</v>
      </c>
      <c r="O650" s="8" t="s">
        <v>97</v>
      </c>
      <c r="P650" s="6" t="s">
        <v>54</v>
      </c>
      <c r="Q650" s="8" t="s">
        <v>86</v>
      </c>
      <c r="R650" s="10" t="s">
        <v>2826</v>
      </c>
      <c r="S650" s="11" t="s">
        <v>3881</v>
      </c>
      <c r="T650" s="6"/>
      <c r="U650" s="28" t="str">
        <f>HYPERLINK("https://media.infra-m.ru/1976/1976179/cover/1976179.jpg", "Обложка")</f>
        <v>Обложка</v>
      </c>
      <c r="V650" s="28" t="str">
        <f>HYPERLINK("https://znanium.com/catalog/product/1845362", "Ознакомиться")</f>
        <v>Ознакомиться</v>
      </c>
      <c r="W650" s="8" t="s">
        <v>120</v>
      </c>
      <c r="X650" s="6"/>
      <c r="Y650" s="6"/>
      <c r="Z650" s="6"/>
      <c r="AA650" s="6" t="s">
        <v>285</v>
      </c>
    </row>
    <row r="651" spans="1:27" s="4" customFormat="1" ht="42" customHeight="1">
      <c r="A651" s="5">
        <v>0</v>
      </c>
      <c r="B651" s="6" t="s">
        <v>3882</v>
      </c>
      <c r="C651" s="7">
        <v>190</v>
      </c>
      <c r="D651" s="8" t="s">
        <v>3883</v>
      </c>
      <c r="E651" s="8" t="s">
        <v>3884</v>
      </c>
      <c r="F651" s="8"/>
      <c r="G651" s="6" t="s">
        <v>37</v>
      </c>
      <c r="H651" s="6" t="s">
        <v>38</v>
      </c>
      <c r="I651" s="8" t="s">
        <v>3885</v>
      </c>
      <c r="J651" s="9">
        <v>1</v>
      </c>
      <c r="K651" s="9">
        <v>80</v>
      </c>
      <c r="L651" s="9">
        <v>2022</v>
      </c>
      <c r="M651" s="8" t="s">
        <v>3886</v>
      </c>
      <c r="N651" s="8" t="s">
        <v>41</v>
      </c>
      <c r="O651" s="8" t="s">
        <v>97</v>
      </c>
      <c r="P651" s="6" t="s">
        <v>305</v>
      </c>
      <c r="Q651" s="8" t="s">
        <v>86</v>
      </c>
      <c r="R651" s="10" t="s">
        <v>98</v>
      </c>
      <c r="S651" s="11"/>
      <c r="T651" s="6"/>
      <c r="U651" s="28" t="str">
        <f>HYPERLINK("https://media.infra-m.ru/1866/1866319/cover/1866319.jpg", "Обложка")</f>
        <v>Обложка</v>
      </c>
      <c r="V651" s="28" t="str">
        <f>HYPERLINK("https://znanium.com/catalog/product/1866319", "Ознакомиться")</f>
        <v>Ознакомиться</v>
      </c>
      <c r="W651" s="8"/>
      <c r="X651" s="6"/>
      <c r="Y651" s="6"/>
      <c r="Z651" s="6"/>
      <c r="AA651" s="6" t="s">
        <v>127</v>
      </c>
    </row>
    <row r="652" spans="1:27" s="4" customFormat="1" ht="42" customHeight="1">
      <c r="A652" s="5">
        <v>0</v>
      </c>
      <c r="B652" s="6" t="s">
        <v>3887</v>
      </c>
      <c r="C652" s="7">
        <v>284.89999999999998</v>
      </c>
      <c r="D652" s="8" t="s">
        <v>3888</v>
      </c>
      <c r="E652" s="8" t="s">
        <v>3889</v>
      </c>
      <c r="F652" s="8" t="s">
        <v>497</v>
      </c>
      <c r="G652" s="6" t="s">
        <v>37</v>
      </c>
      <c r="H652" s="6" t="s">
        <v>64</v>
      </c>
      <c r="I652" s="8" t="s">
        <v>39</v>
      </c>
      <c r="J652" s="9">
        <v>1</v>
      </c>
      <c r="K652" s="9">
        <v>78</v>
      </c>
      <c r="L652" s="9">
        <v>2021</v>
      </c>
      <c r="M652" s="8" t="s">
        <v>3890</v>
      </c>
      <c r="N652" s="8" t="s">
        <v>41</v>
      </c>
      <c r="O652" s="8" t="s">
        <v>42</v>
      </c>
      <c r="P652" s="6" t="s">
        <v>43</v>
      </c>
      <c r="Q652" s="8" t="s">
        <v>44</v>
      </c>
      <c r="R652" s="10" t="s">
        <v>98</v>
      </c>
      <c r="S652" s="11"/>
      <c r="T652" s="6"/>
      <c r="U652" s="28" t="str">
        <f>HYPERLINK("https://media.infra-m.ru/1208/1208484/cover/1208484.jpg", "Обложка")</f>
        <v>Обложка</v>
      </c>
      <c r="V652" s="28" t="str">
        <f>HYPERLINK("https://znanium.com/catalog/product/1208484", "Ознакомиться")</f>
        <v>Ознакомиться</v>
      </c>
      <c r="W652" s="8" t="s">
        <v>324</v>
      </c>
      <c r="X652" s="6"/>
      <c r="Y652" s="6"/>
      <c r="Z652" s="6"/>
      <c r="AA652" s="6" t="s">
        <v>251</v>
      </c>
    </row>
    <row r="653" spans="1:27" s="4" customFormat="1" ht="42" customHeight="1">
      <c r="A653" s="5">
        <v>0</v>
      </c>
      <c r="B653" s="6" t="s">
        <v>3891</v>
      </c>
      <c r="C653" s="7">
        <v>694</v>
      </c>
      <c r="D653" s="8" t="s">
        <v>3892</v>
      </c>
      <c r="E653" s="8" t="s">
        <v>3893</v>
      </c>
      <c r="F653" s="8" t="s">
        <v>3894</v>
      </c>
      <c r="G653" s="6" t="s">
        <v>37</v>
      </c>
      <c r="H653" s="6" t="s">
        <v>64</v>
      </c>
      <c r="I653" s="8" t="s">
        <v>39</v>
      </c>
      <c r="J653" s="9">
        <v>1</v>
      </c>
      <c r="K653" s="9">
        <v>152</v>
      </c>
      <c r="L653" s="9">
        <v>2024</v>
      </c>
      <c r="M653" s="8" t="s">
        <v>3895</v>
      </c>
      <c r="N653" s="8" t="s">
        <v>41</v>
      </c>
      <c r="O653" s="8" t="s">
        <v>42</v>
      </c>
      <c r="P653" s="6" t="s">
        <v>43</v>
      </c>
      <c r="Q653" s="8" t="s">
        <v>44</v>
      </c>
      <c r="R653" s="10" t="s">
        <v>98</v>
      </c>
      <c r="S653" s="11"/>
      <c r="T653" s="6"/>
      <c r="U653" s="28" t="str">
        <f>HYPERLINK("https://media.infra-m.ru/2117/2117134/cover/2117134.jpg", "Обложка")</f>
        <v>Обложка</v>
      </c>
      <c r="V653" s="28" t="str">
        <f>HYPERLINK("https://znanium.com/catalog/product/1059308", "Ознакомиться")</f>
        <v>Ознакомиться</v>
      </c>
      <c r="W653" s="8" t="s">
        <v>324</v>
      </c>
      <c r="X653" s="6"/>
      <c r="Y653" s="6"/>
      <c r="Z653" s="6"/>
      <c r="AA653" s="6" t="s">
        <v>251</v>
      </c>
    </row>
    <row r="654" spans="1:27" s="4" customFormat="1" ht="51.95" customHeight="1">
      <c r="A654" s="5">
        <v>0</v>
      </c>
      <c r="B654" s="6" t="s">
        <v>3896</v>
      </c>
      <c r="C654" s="7">
        <v>500</v>
      </c>
      <c r="D654" s="8" t="s">
        <v>3897</v>
      </c>
      <c r="E654" s="8" t="s">
        <v>3898</v>
      </c>
      <c r="F654" s="8" t="s">
        <v>3899</v>
      </c>
      <c r="G654" s="6" t="s">
        <v>37</v>
      </c>
      <c r="H654" s="6" t="s">
        <v>125</v>
      </c>
      <c r="I654" s="8" t="s">
        <v>1172</v>
      </c>
      <c r="J654" s="9">
        <v>1</v>
      </c>
      <c r="K654" s="9">
        <v>160</v>
      </c>
      <c r="L654" s="9">
        <v>2018</v>
      </c>
      <c r="M654" s="8" t="s">
        <v>3900</v>
      </c>
      <c r="N654" s="8" t="s">
        <v>41</v>
      </c>
      <c r="O654" s="8" t="s">
        <v>97</v>
      </c>
      <c r="P654" s="6" t="s">
        <v>43</v>
      </c>
      <c r="Q654" s="8" t="s">
        <v>44</v>
      </c>
      <c r="R654" s="10" t="s">
        <v>3901</v>
      </c>
      <c r="S654" s="11"/>
      <c r="T654" s="6"/>
      <c r="U654" s="28" t="str">
        <f>HYPERLINK("https://media.infra-m.ru/0927/0927075/cover/927075.jpg", "Обложка")</f>
        <v>Обложка</v>
      </c>
      <c r="V654" s="28" t="str">
        <f>HYPERLINK("https://znanium.com/catalog/product/927075", "Ознакомиться")</f>
        <v>Ознакомиться</v>
      </c>
      <c r="W654" s="8" t="s">
        <v>110</v>
      </c>
      <c r="X654" s="6"/>
      <c r="Y654" s="6"/>
      <c r="Z654" s="6"/>
      <c r="AA654" s="6" t="s">
        <v>206</v>
      </c>
    </row>
    <row r="655" spans="1:27" s="4" customFormat="1" ht="44.1" customHeight="1">
      <c r="A655" s="5">
        <v>0</v>
      </c>
      <c r="B655" s="6" t="s">
        <v>3902</v>
      </c>
      <c r="C655" s="13">
        <v>1020</v>
      </c>
      <c r="D655" s="8" t="s">
        <v>3903</v>
      </c>
      <c r="E655" s="8" t="s">
        <v>3904</v>
      </c>
      <c r="F655" s="8" t="s">
        <v>3905</v>
      </c>
      <c r="G655" s="6" t="s">
        <v>37</v>
      </c>
      <c r="H655" s="6" t="s">
        <v>64</v>
      </c>
      <c r="I655" s="8" t="s">
        <v>39</v>
      </c>
      <c r="J655" s="9">
        <v>1</v>
      </c>
      <c r="K655" s="9">
        <v>215</v>
      </c>
      <c r="L655" s="9">
        <v>2023</v>
      </c>
      <c r="M655" s="8" t="s">
        <v>3906</v>
      </c>
      <c r="N655" s="8" t="s">
        <v>41</v>
      </c>
      <c r="O655" s="8" t="s">
        <v>85</v>
      </c>
      <c r="P655" s="6" t="s">
        <v>43</v>
      </c>
      <c r="Q655" s="8" t="s">
        <v>44</v>
      </c>
      <c r="R655" s="10" t="s">
        <v>3907</v>
      </c>
      <c r="S655" s="11"/>
      <c r="T655" s="6"/>
      <c r="U655" s="28" t="str">
        <f>HYPERLINK("https://media.infra-m.ru/1989/1989211/cover/1989211.jpg", "Обложка")</f>
        <v>Обложка</v>
      </c>
      <c r="V655" s="28" t="str">
        <f>HYPERLINK("https://znanium.com/catalog/product/1989211", "Ознакомиться")</f>
        <v>Ознакомиться</v>
      </c>
      <c r="W655" s="8" t="s">
        <v>159</v>
      </c>
      <c r="X655" s="6" t="s">
        <v>3101</v>
      </c>
      <c r="Y655" s="6"/>
      <c r="Z655" s="6"/>
      <c r="AA655" s="6" t="s">
        <v>112</v>
      </c>
    </row>
    <row r="656" spans="1:27" s="4" customFormat="1" ht="51.95" customHeight="1">
      <c r="A656" s="5">
        <v>0</v>
      </c>
      <c r="B656" s="6" t="s">
        <v>3908</v>
      </c>
      <c r="C656" s="7">
        <v>940</v>
      </c>
      <c r="D656" s="8" t="s">
        <v>3909</v>
      </c>
      <c r="E656" s="8" t="s">
        <v>3910</v>
      </c>
      <c r="F656" s="8" t="s">
        <v>3911</v>
      </c>
      <c r="G656" s="6" t="s">
        <v>37</v>
      </c>
      <c r="H656" s="6" t="s">
        <v>38</v>
      </c>
      <c r="I656" s="8"/>
      <c r="J656" s="9">
        <v>1</v>
      </c>
      <c r="K656" s="9">
        <v>208</v>
      </c>
      <c r="L656" s="9">
        <v>2024</v>
      </c>
      <c r="M656" s="8" t="s">
        <v>3912</v>
      </c>
      <c r="N656" s="8" t="s">
        <v>41</v>
      </c>
      <c r="O656" s="8" t="s">
        <v>97</v>
      </c>
      <c r="P656" s="6" t="s">
        <v>43</v>
      </c>
      <c r="Q656" s="8" t="s">
        <v>44</v>
      </c>
      <c r="R656" s="10" t="s">
        <v>3913</v>
      </c>
      <c r="S656" s="11"/>
      <c r="T656" s="6"/>
      <c r="U656" s="28" t="str">
        <f>HYPERLINK("https://media.infra-m.ru/2109/2109600/cover/2109600.jpg", "Обложка")</f>
        <v>Обложка</v>
      </c>
      <c r="V656" s="28" t="str">
        <f>HYPERLINK("https://znanium.com/catalog/product/2109600", "Ознакомиться")</f>
        <v>Ознакомиться</v>
      </c>
      <c r="W656" s="8" t="s">
        <v>3914</v>
      </c>
      <c r="X656" s="6"/>
      <c r="Y656" s="6"/>
      <c r="Z656" s="6"/>
      <c r="AA656" s="6" t="s">
        <v>206</v>
      </c>
    </row>
    <row r="657" spans="1:27" s="4" customFormat="1" ht="51.95" customHeight="1">
      <c r="A657" s="5">
        <v>0</v>
      </c>
      <c r="B657" s="6" t="s">
        <v>3915</v>
      </c>
      <c r="C657" s="7">
        <v>699.9</v>
      </c>
      <c r="D657" s="8" t="s">
        <v>3916</v>
      </c>
      <c r="E657" s="8" t="s">
        <v>3917</v>
      </c>
      <c r="F657" s="8" t="s">
        <v>3918</v>
      </c>
      <c r="G657" s="6" t="s">
        <v>37</v>
      </c>
      <c r="H657" s="6" t="s">
        <v>38</v>
      </c>
      <c r="I657" s="8"/>
      <c r="J657" s="9">
        <v>30</v>
      </c>
      <c r="K657" s="9">
        <v>225</v>
      </c>
      <c r="L657" s="9">
        <v>2017</v>
      </c>
      <c r="M657" s="8" t="s">
        <v>3919</v>
      </c>
      <c r="N657" s="8" t="s">
        <v>41</v>
      </c>
      <c r="O657" s="8" t="s">
        <v>97</v>
      </c>
      <c r="P657" s="6" t="s">
        <v>43</v>
      </c>
      <c r="Q657" s="8" t="s">
        <v>44</v>
      </c>
      <c r="R657" s="10" t="s">
        <v>3920</v>
      </c>
      <c r="S657" s="11"/>
      <c r="T657" s="6"/>
      <c r="U657" s="28" t="str">
        <f>HYPERLINK("https://media.infra-m.ru/0671/0671363/cover/671363.jpg", "Обложка")</f>
        <v>Обложка</v>
      </c>
      <c r="V657" s="28" t="str">
        <f>HYPERLINK("https://znanium.com/catalog/product/671363", "Ознакомиться")</f>
        <v>Ознакомиться</v>
      </c>
      <c r="W657" s="8" t="s">
        <v>110</v>
      </c>
      <c r="X657" s="6"/>
      <c r="Y657" s="6"/>
      <c r="Z657" s="6"/>
      <c r="AA657" s="6" t="s">
        <v>206</v>
      </c>
    </row>
    <row r="658" spans="1:27" s="4" customFormat="1" ht="51.95" customHeight="1">
      <c r="A658" s="5">
        <v>0</v>
      </c>
      <c r="B658" s="6" t="s">
        <v>3921</v>
      </c>
      <c r="C658" s="13">
        <v>1020</v>
      </c>
      <c r="D658" s="8" t="s">
        <v>3922</v>
      </c>
      <c r="E658" s="8" t="s">
        <v>3923</v>
      </c>
      <c r="F658" s="8" t="s">
        <v>3924</v>
      </c>
      <c r="G658" s="6" t="s">
        <v>37</v>
      </c>
      <c r="H658" s="6" t="s">
        <v>64</v>
      </c>
      <c r="I658" s="8" t="s">
        <v>39</v>
      </c>
      <c r="J658" s="9">
        <v>1</v>
      </c>
      <c r="K658" s="9">
        <v>261</v>
      </c>
      <c r="L658" s="9">
        <v>2022</v>
      </c>
      <c r="M658" s="8" t="s">
        <v>3925</v>
      </c>
      <c r="N658" s="8" t="s">
        <v>41</v>
      </c>
      <c r="O658" s="8" t="s">
        <v>97</v>
      </c>
      <c r="P658" s="6" t="s">
        <v>43</v>
      </c>
      <c r="Q658" s="8" t="s">
        <v>44</v>
      </c>
      <c r="R658" s="10" t="s">
        <v>1342</v>
      </c>
      <c r="S658" s="11"/>
      <c r="T658" s="6"/>
      <c r="U658" s="28" t="str">
        <f>HYPERLINK("https://media.infra-m.ru/1246/1246521/cover/1246521.jpg", "Обложка")</f>
        <v>Обложка</v>
      </c>
      <c r="V658" s="28" t="str">
        <f>HYPERLINK("https://znanium.com/catalog/product/1246521", "Ознакомиться")</f>
        <v>Ознакомиться</v>
      </c>
      <c r="W658" s="8" t="s">
        <v>2191</v>
      </c>
      <c r="X658" s="6"/>
      <c r="Y658" s="6"/>
      <c r="Z658" s="6"/>
      <c r="AA658" s="6" t="s">
        <v>58</v>
      </c>
    </row>
    <row r="659" spans="1:27" s="4" customFormat="1" ht="51.95" customHeight="1">
      <c r="A659" s="5">
        <v>0</v>
      </c>
      <c r="B659" s="6" t="s">
        <v>3926</v>
      </c>
      <c r="C659" s="7">
        <v>900</v>
      </c>
      <c r="D659" s="8" t="s">
        <v>3927</v>
      </c>
      <c r="E659" s="8" t="s">
        <v>3928</v>
      </c>
      <c r="F659" s="8" t="s">
        <v>3929</v>
      </c>
      <c r="G659" s="6" t="s">
        <v>63</v>
      </c>
      <c r="H659" s="6" t="s">
        <v>357</v>
      </c>
      <c r="I659" s="8" t="s">
        <v>192</v>
      </c>
      <c r="J659" s="9">
        <v>1</v>
      </c>
      <c r="K659" s="9">
        <v>200</v>
      </c>
      <c r="L659" s="9">
        <v>2023</v>
      </c>
      <c r="M659" s="8" t="s">
        <v>3930</v>
      </c>
      <c r="N659" s="8" t="s">
        <v>41</v>
      </c>
      <c r="O659" s="8" t="s">
        <v>97</v>
      </c>
      <c r="P659" s="6" t="s">
        <v>67</v>
      </c>
      <c r="Q659" s="8" t="s">
        <v>194</v>
      </c>
      <c r="R659" s="10" t="s">
        <v>3931</v>
      </c>
      <c r="S659" s="11" t="s">
        <v>3932</v>
      </c>
      <c r="T659" s="6"/>
      <c r="U659" s="28" t="str">
        <f>HYPERLINK("https://media.infra-m.ru/1931/1931475/cover/1931475.jpg", "Обложка")</f>
        <v>Обложка</v>
      </c>
      <c r="V659" s="28" t="str">
        <f>HYPERLINK("https://znanium.com/catalog/product/1931475", "Ознакомиться")</f>
        <v>Ознакомиться</v>
      </c>
      <c r="W659" s="8" t="s">
        <v>3933</v>
      </c>
      <c r="X659" s="6"/>
      <c r="Y659" s="6"/>
      <c r="Z659" s="6"/>
      <c r="AA659" s="6" t="s">
        <v>206</v>
      </c>
    </row>
    <row r="660" spans="1:27" s="4" customFormat="1" ht="44.1" customHeight="1">
      <c r="A660" s="5">
        <v>0</v>
      </c>
      <c r="B660" s="6" t="s">
        <v>3934</v>
      </c>
      <c r="C660" s="13">
        <v>1434.9</v>
      </c>
      <c r="D660" s="8" t="s">
        <v>3935</v>
      </c>
      <c r="E660" s="8" t="s">
        <v>3936</v>
      </c>
      <c r="F660" s="8" t="s">
        <v>3937</v>
      </c>
      <c r="G660" s="6" t="s">
        <v>95</v>
      </c>
      <c r="H660" s="6" t="s">
        <v>64</v>
      </c>
      <c r="I660" s="8" t="s">
        <v>65</v>
      </c>
      <c r="J660" s="9">
        <v>1</v>
      </c>
      <c r="K660" s="9">
        <v>377</v>
      </c>
      <c r="L660" s="9">
        <v>2022</v>
      </c>
      <c r="M660" s="8" t="s">
        <v>3938</v>
      </c>
      <c r="N660" s="8" t="s">
        <v>41</v>
      </c>
      <c r="O660" s="8" t="s">
        <v>97</v>
      </c>
      <c r="P660" s="6" t="s">
        <v>67</v>
      </c>
      <c r="Q660" s="8" t="s">
        <v>55</v>
      </c>
      <c r="R660" s="10" t="s">
        <v>1084</v>
      </c>
      <c r="S660" s="11"/>
      <c r="T660" s="6"/>
      <c r="U660" s="28" t="str">
        <f>HYPERLINK("https://media.infra-m.ru/1844/1844272/cover/1844272.jpg", "Обложка")</f>
        <v>Обложка</v>
      </c>
      <c r="V660" s="28" t="str">
        <f>HYPERLINK("https://znanium.com/catalog/product/1844272", "Ознакомиться")</f>
        <v>Ознакомиться</v>
      </c>
      <c r="W660" s="8" t="s">
        <v>1335</v>
      </c>
      <c r="X660" s="6"/>
      <c r="Y660" s="6"/>
      <c r="Z660" s="6"/>
      <c r="AA660" s="6" t="s">
        <v>47</v>
      </c>
    </row>
    <row r="661" spans="1:27" s="4" customFormat="1" ht="51.95" customHeight="1">
      <c r="A661" s="5">
        <v>0</v>
      </c>
      <c r="B661" s="6" t="s">
        <v>3939</v>
      </c>
      <c r="C661" s="13">
        <v>1240</v>
      </c>
      <c r="D661" s="8" t="s">
        <v>3940</v>
      </c>
      <c r="E661" s="8" t="s">
        <v>3941</v>
      </c>
      <c r="F661" s="8" t="s">
        <v>759</v>
      </c>
      <c r="G661" s="6" t="s">
        <v>63</v>
      </c>
      <c r="H661" s="6" t="s">
        <v>64</v>
      </c>
      <c r="I661" s="8" t="s">
        <v>3942</v>
      </c>
      <c r="J661" s="9">
        <v>1</v>
      </c>
      <c r="K661" s="9">
        <v>274</v>
      </c>
      <c r="L661" s="9">
        <v>2022</v>
      </c>
      <c r="M661" s="8" t="s">
        <v>3943</v>
      </c>
      <c r="N661" s="8" t="s">
        <v>41</v>
      </c>
      <c r="O661" s="8" t="s">
        <v>97</v>
      </c>
      <c r="P661" s="6" t="s">
        <v>67</v>
      </c>
      <c r="Q661" s="8" t="s">
        <v>86</v>
      </c>
      <c r="R661" s="10" t="s">
        <v>3944</v>
      </c>
      <c r="S661" s="11" t="s">
        <v>3945</v>
      </c>
      <c r="T661" s="6"/>
      <c r="U661" s="28" t="str">
        <f>HYPERLINK("https://media.infra-m.ru/1843/1843555/cover/1843555.jpg", "Обложка")</f>
        <v>Обложка</v>
      </c>
      <c r="V661" s="28" t="str">
        <f>HYPERLINK("https://znanium.com/catalog/product/1843555", "Ознакомиться")</f>
        <v>Ознакомиться</v>
      </c>
      <c r="W661" s="8" t="s">
        <v>763</v>
      </c>
      <c r="X661" s="6"/>
      <c r="Y661" s="6"/>
      <c r="Z661" s="6"/>
      <c r="AA661" s="6" t="s">
        <v>401</v>
      </c>
    </row>
    <row r="662" spans="1:27" s="4" customFormat="1" ht="51.95" customHeight="1">
      <c r="A662" s="5">
        <v>0</v>
      </c>
      <c r="B662" s="6" t="s">
        <v>3946</v>
      </c>
      <c r="C662" s="13">
        <v>1084.9000000000001</v>
      </c>
      <c r="D662" s="8" t="s">
        <v>3947</v>
      </c>
      <c r="E662" s="8" t="s">
        <v>3948</v>
      </c>
      <c r="F662" s="8" t="s">
        <v>3949</v>
      </c>
      <c r="G662" s="6" t="s">
        <v>95</v>
      </c>
      <c r="H662" s="6" t="s">
        <v>64</v>
      </c>
      <c r="I662" s="8" t="s">
        <v>83</v>
      </c>
      <c r="J662" s="9">
        <v>1</v>
      </c>
      <c r="K662" s="9">
        <v>241</v>
      </c>
      <c r="L662" s="9">
        <v>2023</v>
      </c>
      <c r="M662" s="8" t="s">
        <v>3950</v>
      </c>
      <c r="N662" s="8" t="s">
        <v>41</v>
      </c>
      <c r="O662" s="8" t="s">
        <v>97</v>
      </c>
      <c r="P662" s="6" t="s">
        <v>54</v>
      </c>
      <c r="Q662" s="8" t="s">
        <v>86</v>
      </c>
      <c r="R662" s="10" t="s">
        <v>1408</v>
      </c>
      <c r="S662" s="11" t="s">
        <v>3951</v>
      </c>
      <c r="T662" s="6"/>
      <c r="U662" s="28" t="str">
        <f>HYPERLINK("https://media.infra-m.ru/1971/1971861/cover/1971861.jpg", "Обложка")</f>
        <v>Обложка</v>
      </c>
      <c r="V662" s="28" t="str">
        <f>HYPERLINK("https://znanium.com/catalog/product/1832151", "Ознакомиться")</f>
        <v>Ознакомиться</v>
      </c>
      <c r="W662" s="8" t="s">
        <v>3630</v>
      </c>
      <c r="X662" s="6"/>
      <c r="Y662" s="6"/>
      <c r="Z662" s="6"/>
      <c r="AA662" s="6" t="s">
        <v>353</v>
      </c>
    </row>
    <row r="663" spans="1:27" s="4" customFormat="1" ht="51.95" customHeight="1">
      <c r="A663" s="5">
        <v>0</v>
      </c>
      <c r="B663" s="6" t="s">
        <v>3952</v>
      </c>
      <c r="C663" s="7">
        <v>490</v>
      </c>
      <c r="D663" s="8" t="s">
        <v>3953</v>
      </c>
      <c r="E663" s="8" t="s">
        <v>3948</v>
      </c>
      <c r="F663" s="8" t="s">
        <v>3954</v>
      </c>
      <c r="G663" s="6" t="s">
        <v>37</v>
      </c>
      <c r="H663" s="6" t="s">
        <v>1432</v>
      </c>
      <c r="I663" s="8"/>
      <c r="J663" s="9">
        <v>1</v>
      </c>
      <c r="K663" s="9">
        <v>144</v>
      </c>
      <c r="L663" s="9">
        <v>2020</v>
      </c>
      <c r="M663" s="8" t="s">
        <v>3955</v>
      </c>
      <c r="N663" s="8" t="s">
        <v>41</v>
      </c>
      <c r="O663" s="8" t="s">
        <v>97</v>
      </c>
      <c r="P663" s="6" t="s">
        <v>54</v>
      </c>
      <c r="Q663" s="8" t="s">
        <v>86</v>
      </c>
      <c r="R663" s="10" t="s">
        <v>3956</v>
      </c>
      <c r="S663" s="11"/>
      <c r="T663" s="6"/>
      <c r="U663" s="28" t="str">
        <f>HYPERLINK("https://media.infra-m.ru/1048/1048522/cover/1048522.jpg", "Обложка")</f>
        <v>Обложка</v>
      </c>
      <c r="V663" s="28" t="str">
        <f>HYPERLINK("https://znanium.com/catalog/product/1033474", "Ознакомиться")</f>
        <v>Ознакомиться</v>
      </c>
      <c r="W663" s="8" t="s">
        <v>3957</v>
      </c>
      <c r="X663" s="6"/>
      <c r="Y663" s="6"/>
      <c r="Z663" s="6"/>
      <c r="AA663" s="6" t="s">
        <v>90</v>
      </c>
    </row>
    <row r="664" spans="1:27" s="4" customFormat="1" ht="51.95" customHeight="1">
      <c r="A664" s="5">
        <v>0</v>
      </c>
      <c r="B664" s="6" t="s">
        <v>3958</v>
      </c>
      <c r="C664" s="13">
        <v>1984</v>
      </c>
      <c r="D664" s="8" t="s">
        <v>3959</v>
      </c>
      <c r="E664" s="8" t="s">
        <v>3960</v>
      </c>
      <c r="F664" s="8" t="s">
        <v>3961</v>
      </c>
      <c r="G664" s="6" t="s">
        <v>95</v>
      </c>
      <c r="H664" s="6" t="s">
        <v>347</v>
      </c>
      <c r="I664" s="8" t="s">
        <v>390</v>
      </c>
      <c r="J664" s="9">
        <v>1</v>
      </c>
      <c r="K664" s="9">
        <v>432</v>
      </c>
      <c r="L664" s="9">
        <v>2024</v>
      </c>
      <c r="M664" s="8" t="s">
        <v>3962</v>
      </c>
      <c r="N664" s="8" t="s">
        <v>41</v>
      </c>
      <c r="O664" s="8" t="s">
        <v>97</v>
      </c>
      <c r="P664" s="6" t="s">
        <v>54</v>
      </c>
      <c r="Q664" s="8" t="s">
        <v>86</v>
      </c>
      <c r="R664" s="10" t="s">
        <v>98</v>
      </c>
      <c r="S664" s="11" t="s">
        <v>3963</v>
      </c>
      <c r="T664" s="6"/>
      <c r="U664" s="28" t="str">
        <f>HYPERLINK("https://media.infra-m.ru/2056/2056629/cover/2056629.jpg", "Обложка")</f>
        <v>Обложка</v>
      </c>
      <c r="V664" s="28" t="str">
        <f>HYPERLINK("https://znanium.com/catalog/product/1067537", "Ознакомиться")</f>
        <v>Ознакомиться</v>
      </c>
      <c r="W664" s="8" t="s">
        <v>269</v>
      </c>
      <c r="X664" s="6"/>
      <c r="Y664" s="6"/>
      <c r="Z664" s="6"/>
      <c r="AA664" s="6" t="s">
        <v>334</v>
      </c>
    </row>
    <row r="665" spans="1:27" s="4" customFormat="1" ht="51.95" customHeight="1">
      <c r="A665" s="5">
        <v>0</v>
      </c>
      <c r="B665" s="6" t="s">
        <v>3964</v>
      </c>
      <c r="C665" s="13">
        <v>1644.9</v>
      </c>
      <c r="D665" s="8" t="s">
        <v>3965</v>
      </c>
      <c r="E665" s="8" t="s">
        <v>3966</v>
      </c>
      <c r="F665" s="8" t="s">
        <v>3967</v>
      </c>
      <c r="G665" s="6" t="s">
        <v>95</v>
      </c>
      <c r="H665" s="6" t="s">
        <v>64</v>
      </c>
      <c r="I665" s="8" t="s">
        <v>83</v>
      </c>
      <c r="J665" s="9">
        <v>1</v>
      </c>
      <c r="K665" s="9">
        <v>432</v>
      </c>
      <c r="L665" s="9">
        <v>2022</v>
      </c>
      <c r="M665" s="8" t="s">
        <v>3968</v>
      </c>
      <c r="N665" s="8" t="s">
        <v>41</v>
      </c>
      <c r="O665" s="8" t="s">
        <v>97</v>
      </c>
      <c r="P665" s="6" t="s">
        <v>54</v>
      </c>
      <c r="Q665" s="8" t="s">
        <v>86</v>
      </c>
      <c r="R665" s="10" t="s">
        <v>3969</v>
      </c>
      <c r="S665" s="11" t="s">
        <v>3970</v>
      </c>
      <c r="T665" s="6"/>
      <c r="U665" s="28" t="str">
        <f>HYPERLINK("https://media.infra-m.ru/1841/1841423/cover/1841423.jpg", "Обложка")</f>
        <v>Обложка</v>
      </c>
      <c r="V665" s="28" t="str">
        <f>HYPERLINK("https://znanium.com/catalog/product/1841423", "Ознакомиться")</f>
        <v>Ознакомиться</v>
      </c>
      <c r="W665" s="8" t="s">
        <v>1291</v>
      </c>
      <c r="X665" s="6"/>
      <c r="Y665" s="6"/>
      <c r="Z665" s="6"/>
      <c r="AA665" s="6" t="s">
        <v>610</v>
      </c>
    </row>
    <row r="666" spans="1:27" s="4" customFormat="1" ht="51.95" customHeight="1">
      <c r="A666" s="5">
        <v>0</v>
      </c>
      <c r="B666" s="6" t="s">
        <v>3971</v>
      </c>
      <c r="C666" s="13">
        <v>1434.9</v>
      </c>
      <c r="D666" s="8" t="s">
        <v>3972</v>
      </c>
      <c r="E666" s="8" t="s">
        <v>3973</v>
      </c>
      <c r="F666" s="8" t="s">
        <v>3974</v>
      </c>
      <c r="G666" s="6" t="s">
        <v>95</v>
      </c>
      <c r="H666" s="6" t="s">
        <v>52</v>
      </c>
      <c r="I666" s="8"/>
      <c r="J666" s="9">
        <v>1</v>
      </c>
      <c r="K666" s="9">
        <v>448</v>
      </c>
      <c r="L666" s="9">
        <v>2019</v>
      </c>
      <c r="M666" s="8" t="s">
        <v>3975</v>
      </c>
      <c r="N666" s="8" t="s">
        <v>41</v>
      </c>
      <c r="O666" s="8" t="s">
        <v>42</v>
      </c>
      <c r="P666" s="6" t="s">
        <v>67</v>
      </c>
      <c r="Q666" s="8" t="s">
        <v>86</v>
      </c>
      <c r="R666" s="10" t="s">
        <v>407</v>
      </c>
      <c r="S666" s="11"/>
      <c r="T666" s="6"/>
      <c r="U666" s="28" t="str">
        <f>HYPERLINK("https://media.infra-m.ru/0982/0982111/cover/982111.jpg", "Обложка")</f>
        <v>Обложка</v>
      </c>
      <c r="V666" s="28" t="str">
        <f>HYPERLINK("https://znanium.com/catalog/product/1228794", "Ознакомиться")</f>
        <v>Ознакомиться</v>
      </c>
      <c r="W666" s="8" t="s">
        <v>3976</v>
      </c>
      <c r="X666" s="6"/>
      <c r="Y666" s="6"/>
      <c r="Z666" s="6"/>
      <c r="AA666" s="6" t="s">
        <v>3977</v>
      </c>
    </row>
    <row r="667" spans="1:27" s="15" customFormat="1" ht="21.95" customHeight="1"/>
    <row r="668" spans="1:27" ht="15.95" customHeight="1">
      <c r="A668" s="25" t="s">
        <v>23</v>
      </c>
      <c r="B668" s="25"/>
    </row>
    <row r="669" spans="1:27" s="16" customFormat="1" ht="12.95" customHeight="1"/>
    <row r="670" spans="1:27" s="16" customFormat="1" ht="12.95" customHeight="1">
      <c r="A670" s="26" t="s">
        <v>3978</v>
      </c>
      <c r="B670" s="26"/>
      <c r="C670" s="26" t="s">
        <v>3979</v>
      </c>
      <c r="D670" s="26"/>
      <c r="E670" s="26"/>
    </row>
    <row r="671" spans="1:27" s="16" customFormat="1" ht="12.95" customHeight="1">
      <c r="A671" s="26" t="s">
        <v>2411</v>
      </c>
      <c r="B671" s="26"/>
      <c r="C671" s="26" t="s">
        <v>3980</v>
      </c>
      <c r="D671" s="26"/>
      <c r="E671" s="26"/>
    </row>
    <row r="672" spans="1:27" s="16" customFormat="1" ht="12.95" customHeight="1">
      <c r="A672" s="26" t="s">
        <v>3981</v>
      </c>
      <c r="B672" s="26"/>
      <c r="C672" s="26" t="s">
        <v>3980</v>
      </c>
      <c r="D672" s="26"/>
      <c r="E672" s="26"/>
    </row>
    <row r="673" spans="1:5" s="16" customFormat="1" ht="12.95" customHeight="1">
      <c r="A673" s="26" t="s">
        <v>3982</v>
      </c>
      <c r="B673" s="26"/>
      <c r="C673" s="26" t="s">
        <v>3983</v>
      </c>
      <c r="D673" s="26"/>
      <c r="E673" s="26"/>
    </row>
    <row r="674" spans="1:5" s="16" customFormat="1" ht="12.95" customHeight="1">
      <c r="A674" s="26" t="s">
        <v>3984</v>
      </c>
      <c r="B674" s="26"/>
      <c r="C674" s="26" t="s">
        <v>3985</v>
      </c>
      <c r="D674" s="26"/>
      <c r="E674" s="26"/>
    </row>
    <row r="675" spans="1:5" s="16" customFormat="1" ht="12.95" customHeight="1">
      <c r="A675" s="26" t="s">
        <v>3986</v>
      </c>
      <c r="B675" s="26"/>
      <c r="C675" s="26" t="s">
        <v>3985</v>
      </c>
      <c r="D675" s="26"/>
      <c r="E675" s="26"/>
    </row>
    <row r="676" spans="1:5" s="16" customFormat="1" ht="12.95" customHeight="1">
      <c r="A676" s="26" t="s">
        <v>3987</v>
      </c>
      <c r="B676" s="26"/>
      <c r="C676" s="26" t="s">
        <v>3988</v>
      </c>
      <c r="D676" s="26"/>
      <c r="E676" s="26"/>
    </row>
    <row r="677" spans="1:5" s="16" customFormat="1" ht="12.95" customHeight="1">
      <c r="A677" s="26" t="s">
        <v>3989</v>
      </c>
      <c r="B677" s="26"/>
      <c r="C677" s="26" t="s">
        <v>3990</v>
      </c>
      <c r="D677" s="26"/>
      <c r="E677" s="26"/>
    </row>
    <row r="678" spans="1:5" s="16" customFormat="1" ht="12.95" customHeight="1">
      <c r="A678" s="26" t="s">
        <v>3991</v>
      </c>
      <c r="B678" s="26"/>
      <c r="C678" s="26" t="s">
        <v>3992</v>
      </c>
      <c r="D678" s="26"/>
      <c r="E678" s="26"/>
    </row>
    <row r="679" spans="1:5" s="16" customFormat="1" ht="12.95" customHeight="1">
      <c r="A679" s="26" t="s">
        <v>3993</v>
      </c>
      <c r="B679" s="26"/>
      <c r="C679" s="26" t="s">
        <v>3994</v>
      </c>
      <c r="D679" s="26"/>
      <c r="E679" s="26"/>
    </row>
    <row r="680" spans="1:5" s="16" customFormat="1" ht="12.95" customHeight="1">
      <c r="A680" s="26" t="s">
        <v>3995</v>
      </c>
      <c r="B680" s="26"/>
      <c r="C680" s="26" t="s">
        <v>3996</v>
      </c>
      <c r="D680" s="26"/>
      <c r="E680" s="26"/>
    </row>
    <row r="681" spans="1:5" s="16" customFormat="1" ht="12.95" customHeight="1">
      <c r="A681" s="26" t="s">
        <v>3997</v>
      </c>
      <c r="B681" s="26"/>
      <c r="C681" s="26" t="s">
        <v>3998</v>
      </c>
      <c r="D681" s="26"/>
      <c r="E681" s="26"/>
    </row>
    <row r="682" spans="1:5" s="16" customFormat="1" ht="12.95" customHeight="1">
      <c r="A682" s="26" t="s">
        <v>3999</v>
      </c>
      <c r="B682" s="26"/>
      <c r="C682" s="26" t="s">
        <v>4000</v>
      </c>
      <c r="D682" s="26"/>
      <c r="E682" s="26"/>
    </row>
    <row r="683" spans="1:5" s="16" customFormat="1" ht="12.95" customHeight="1">
      <c r="A683" s="26" t="s">
        <v>4001</v>
      </c>
      <c r="B683" s="26"/>
      <c r="C683" s="26" t="s">
        <v>4002</v>
      </c>
      <c r="D683" s="26"/>
      <c r="E683" s="26"/>
    </row>
    <row r="684" spans="1:5" s="16" customFormat="1" ht="12.95" customHeight="1">
      <c r="A684" s="26" t="s">
        <v>4003</v>
      </c>
      <c r="B684" s="26"/>
      <c r="C684" s="26" t="s">
        <v>4002</v>
      </c>
      <c r="D684" s="26"/>
      <c r="E684" s="26"/>
    </row>
    <row r="685" spans="1:5" s="16" customFormat="1" ht="12.95" customHeight="1">
      <c r="A685" s="26" t="s">
        <v>4004</v>
      </c>
      <c r="B685" s="26"/>
      <c r="C685" s="26" t="s">
        <v>4005</v>
      </c>
      <c r="D685" s="26"/>
      <c r="E685" s="26"/>
    </row>
    <row r="686" spans="1:5" s="16" customFormat="1" ht="12.95" customHeight="1">
      <c r="A686" s="26" t="s">
        <v>4006</v>
      </c>
      <c r="B686" s="26"/>
      <c r="C686" s="26" t="s">
        <v>4007</v>
      </c>
      <c r="D686" s="26"/>
      <c r="E686" s="26"/>
    </row>
    <row r="687" spans="1:5" s="16" customFormat="1" ht="12.95" customHeight="1">
      <c r="A687" s="26" t="s">
        <v>4008</v>
      </c>
      <c r="B687" s="26"/>
      <c r="C687" s="26" t="s">
        <v>4009</v>
      </c>
      <c r="D687" s="26"/>
      <c r="E687" s="26"/>
    </row>
    <row r="688" spans="1:5" s="16" customFormat="1" ht="12.95" customHeight="1">
      <c r="A688" s="26" t="s">
        <v>4010</v>
      </c>
      <c r="B688" s="26"/>
      <c r="C688" s="26" t="s">
        <v>4007</v>
      </c>
      <c r="D688" s="26"/>
      <c r="E688" s="26"/>
    </row>
    <row r="689" spans="1:5" s="16" customFormat="1" ht="12.95" customHeight="1">
      <c r="A689" s="26" t="s">
        <v>4011</v>
      </c>
      <c r="B689" s="26"/>
      <c r="C689" s="26" t="s">
        <v>4012</v>
      </c>
      <c r="D689" s="26"/>
      <c r="E689" s="26"/>
    </row>
    <row r="690" spans="1:5" s="16" customFormat="1" ht="12.95" customHeight="1">
      <c r="A690" s="26" t="s">
        <v>4013</v>
      </c>
      <c r="B690" s="26"/>
      <c r="C690" s="26" t="s">
        <v>4014</v>
      </c>
      <c r="D690" s="26"/>
      <c r="E690" s="26"/>
    </row>
    <row r="691" spans="1:5" s="16" customFormat="1" ht="12.95" customHeight="1">
      <c r="A691" s="26" t="s">
        <v>4015</v>
      </c>
      <c r="B691" s="26"/>
      <c r="C691" s="26" t="s">
        <v>4016</v>
      </c>
      <c r="D691" s="26"/>
      <c r="E691" s="26"/>
    </row>
    <row r="692" spans="1:5" s="16" customFormat="1" ht="12.95" customHeight="1">
      <c r="A692" s="26" t="s">
        <v>4017</v>
      </c>
      <c r="B692" s="26"/>
      <c r="C692" s="26" t="s">
        <v>4018</v>
      </c>
      <c r="D692" s="26"/>
      <c r="E692" s="26"/>
    </row>
    <row r="693" spans="1:5" s="16" customFormat="1" ht="12.95" customHeight="1">
      <c r="A693" s="26" t="s">
        <v>4019</v>
      </c>
      <c r="B693" s="26"/>
      <c r="C693" s="26" t="s">
        <v>4020</v>
      </c>
      <c r="D693" s="26"/>
      <c r="E693" s="26"/>
    </row>
    <row r="694" spans="1:5" s="16" customFormat="1" ht="12.95" customHeight="1">
      <c r="A694" s="26" t="s">
        <v>4021</v>
      </c>
      <c r="B694" s="26"/>
      <c r="C694" s="26" t="s">
        <v>4022</v>
      </c>
      <c r="D694" s="26"/>
      <c r="E694" s="26"/>
    </row>
    <row r="695" spans="1:5" s="16" customFormat="1" ht="12.95" customHeight="1">
      <c r="A695" s="26" t="s">
        <v>4023</v>
      </c>
      <c r="B695" s="26"/>
      <c r="C695" s="26" t="s">
        <v>4024</v>
      </c>
      <c r="D695" s="26"/>
      <c r="E695" s="26"/>
    </row>
    <row r="696" spans="1:5" s="16" customFormat="1" ht="12.95" customHeight="1">
      <c r="A696" s="26" t="s">
        <v>4025</v>
      </c>
      <c r="B696" s="26"/>
      <c r="C696" s="26" t="s">
        <v>4024</v>
      </c>
      <c r="D696" s="26"/>
      <c r="E696" s="26"/>
    </row>
    <row r="697" spans="1:5" s="16" customFormat="1" ht="12.95" customHeight="1">
      <c r="A697" s="26" t="s">
        <v>4026</v>
      </c>
      <c r="B697" s="26"/>
      <c r="C697" s="26" t="s">
        <v>4027</v>
      </c>
      <c r="D697" s="26"/>
      <c r="E697" s="26"/>
    </row>
    <row r="698" spans="1:5" s="16" customFormat="1" ht="12.95" customHeight="1">
      <c r="A698" s="26" t="s">
        <v>4028</v>
      </c>
      <c r="B698" s="26"/>
      <c r="C698" s="26" t="s">
        <v>4029</v>
      </c>
      <c r="D698" s="26"/>
      <c r="E698" s="26"/>
    </row>
    <row r="699" spans="1:5" s="16" customFormat="1" ht="12.95" customHeight="1">
      <c r="A699" s="26" t="s">
        <v>4030</v>
      </c>
      <c r="B699" s="26"/>
      <c r="C699" s="26" t="s">
        <v>4031</v>
      </c>
      <c r="D699" s="26"/>
      <c r="E699" s="26"/>
    </row>
    <row r="700" spans="1:5" s="16" customFormat="1" ht="12.95" customHeight="1">
      <c r="A700" s="26" t="s">
        <v>4032</v>
      </c>
      <c r="B700" s="26"/>
      <c r="C700" s="26" t="s">
        <v>4033</v>
      </c>
      <c r="D700" s="26"/>
      <c r="E700" s="26"/>
    </row>
    <row r="701" spans="1:5" s="16" customFormat="1" ht="12.95" customHeight="1">
      <c r="A701" s="26" t="s">
        <v>4034</v>
      </c>
      <c r="B701" s="26"/>
      <c r="C701" s="26" t="s">
        <v>4033</v>
      </c>
      <c r="D701" s="26"/>
      <c r="E701" s="26"/>
    </row>
    <row r="702" spans="1:5" s="16" customFormat="1" ht="12.95" customHeight="1">
      <c r="A702" s="26" t="s">
        <v>4035</v>
      </c>
      <c r="B702" s="26"/>
      <c r="C702" s="26" t="s">
        <v>4036</v>
      </c>
      <c r="D702" s="26"/>
      <c r="E702" s="26"/>
    </row>
    <row r="703" spans="1:5" s="16" customFormat="1" ht="12.95" customHeight="1">
      <c r="A703" s="26" t="s">
        <v>4037</v>
      </c>
      <c r="B703" s="26"/>
      <c r="C703" s="26" t="s">
        <v>4038</v>
      </c>
      <c r="D703" s="26"/>
      <c r="E703" s="26"/>
    </row>
    <row r="704" spans="1:5" s="16" customFormat="1" ht="12.95" customHeight="1">
      <c r="A704" s="26" t="s">
        <v>4039</v>
      </c>
      <c r="B704" s="26"/>
      <c r="C704" s="26" t="s">
        <v>4040</v>
      </c>
      <c r="D704" s="26"/>
      <c r="E704" s="26"/>
    </row>
    <row r="705" spans="1:5" s="16" customFormat="1" ht="12.95" customHeight="1">
      <c r="A705" s="26" t="s">
        <v>4041</v>
      </c>
      <c r="B705" s="26"/>
      <c r="C705" s="26" t="s">
        <v>4042</v>
      </c>
      <c r="D705" s="26"/>
      <c r="E705" s="26"/>
    </row>
    <row r="706" spans="1:5" s="16" customFormat="1" ht="12.95" customHeight="1">
      <c r="A706" s="26" t="s">
        <v>4043</v>
      </c>
      <c r="B706" s="26"/>
      <c r="C706" s="26" t="s">
        <v>4044</v>
      </c>
      <c r="D706" s="26"/>
      <c r="E706" s="26"/>
    </row>
    <row r="707" spans="1:5" s="16" customFormat="1" ht="12.95" customHeight="1">
      <c r="A707" s="26" t="s">
        <v>4045</v>
      </c>
      <c r="B707" s="26"/>
      <c r="C707" s="26" t="s">
        <v>4046</v>
      </c>
      <c r="D707" s="26"/>
      <c r="E707" s="26"/>
    </row>
    <row r="708" spans="1:5" s="16" customFormat="1" ht="12.95" customHeight="1">
      <c r="A708" s="26" t="s">
        <v>4047</v>
      </c>
      <c r="B708" s="26"/>
      <c r="C708" s="26" t="s">
        <v>4048</v>
      </c>
      <c r="D708" s="26"/>
      <c r="E708" s="26"/>
    </row>
    <row r="709" spans="1:5" s="16" customFormat="1" ht="12.95" customHeight="1">
      <c r="A709" s="26" t="s">
        <v>4049</v>
      </c>
      <c r="B709" s="26"/>
      <c r="C709" s="26" t="s">
        <v>4050</v>
      </c>
      <c r="D709" s="26"/>
      <c r="E709" s="26"/>
    </row>
    <row r="710" spans="1:5" s="16" customFormat="1" ht="12.95" customHeight="1">
      <c r="A710" s="26" t="s">
        <v>4051</v>
      </c>
      <c r="B710" s="26"/>
      <c r="C710" s="26" t="s">
        <v>4052</v>
      </c>
      <c r="D710" s="26"/>
      <c r="E710" s="26"/>
    </row>
    <row r="711" spans="1:5" s="16" customFormat="1" ht="12.95" customHeight="1">
      <c r="A711" s="26" t="s">
        <v>4053</v>
      </c>
      <c r="B711" s="26"/>
      <c r="C711" s="26" t="s">
        <v>4054</v>
      </c>
      <c r="D711" s="26"/>
      <c r="E711" s="26"/>
    </row>
    <row r="712" spans="1:5" s="16" customFormat="1" ht="12.95" customHeight="1">
      <c r="A712" s="26" t="s">
        <v>4055</v>
      </c>
      <c r="B712" s="26"/>
      <c r="C712" s="26" t="s">
        <v>4056</v>
      </c>
      <c r="D712" s="26"/>
      <c r="E712" s="26"/>
    </row>
    <row r="713" spans="1:5" s="16" customFormat="1" ht="12.95" customHeight="1">
      <c r="A713" s="26" t="s">
        <v>4057</v>
      </c>
      <c r="B713" s="26"/>
      <c r="C713" s="26" t="s">
        <v>4058</v>
      </c>
      <c r="D713" s="26"/>
      <c r="E713" s="26"/>
    </row>
    <row r="714" spans="1:5" s="16" customFormat="1" ht="12.95" customHeight="1">
      <c r="A714" s="26" t="s">
        <v>4059</v>
      </c>
      <c r="B714" s="26"/>
      <c r="C714" s="26" t="s">
        <v>4060</v>
      </c>
      <c r="D714" s="26"/>
      <c r="E714" s="26"/>
    </row>
    <row r="715" spans="1:5" s="16" customFormat="1" ht="12.95" customHeight="1">
      <c r="A715" s="26" t="s">
        <v>4061</v>
      </c>
      <c r="B715" s="26"/>
      <c r="C715" s="26" t="s">
        <v>4062</v>
      </c>
      <c r="D715" s="26"/>
      <c r="E715" s="26"/>
    </row>
    <row r="716" spans="1:5" s="16" customFormat="1" ht="12.95" customHeight="1">
      <c r="A716" s="26" t="s">
        <v>4063</v>
      </c>
      <c r="B716" s="26"/>
      <c r="C716" s="26" t="s">
        <v>4064</v>
      </c>
      <c r="D716" s="26"/>
      <c r="E716" s="26"/>
    </row>
    <row r="717" spans="1:5" s="16" customFormat="1" ht="12.95" customHeight="1">
      <c r="A717" s="26" t="s">
        <v>4065</v>
      </c>
      <c r="B717" s="26"/>
      <c r="C717" s="26" t="s">
        <v>4062</v>
      </c>
      <c r="D717" s="26"/>
      <c r="E717" s="26"/>
    </row>
    <row r="718" spans="1:5" s="16" customFormat="1" ht="12.95" customHeight="1">
      <c r="A718" s="26" t="s">
        <v>4066</v>
      </c>
      <c r="B718" s="26"/>
      <c r="C718" s="26" t="s">
        <v>4067</v>
      </c>
      <c r="D718" s="26"/>
      <c r="E718" s="26"/>
    </row>
    <row r="719" spans="1:5" s="16" customFormat="1" ht="12.95" customHeight="1">
      <c r="A719" s="26" t="s">
        <v>4068</v>
      </c>
      <c r="B719" s="26"/>
      <c r="C719" s="26" t="s">
        <v>4069</v>
      </c>
      <c r="D719" s="26"/>
      <c r="E719" s="26"/>
    </row>
    <row r="720" spans="1:5" s="16" customFormat="1" ht="12.95" customHeight="1">
      <c r="A720" s="26" t="s">
        <v>4070</v>
      </c>
      <c r="B720" s="26"/>
      <c r="C720" s="26" t="s">
        <v>4071</v>
      </c>
      <c r="D720" s="26"/>
      <c r="E720" s="26"/>
    </row>
    <row r="721" spans="1:5" s="16" customFormat="1" ht="12.95" customHeight="1">
      <c r="A721" s="26" t="s">
        <v>4072</v>
      </c>
      <c r="B721" s="26"/>
      <c r="C721" s="26" t="s">
        <v>4073</v>
      </c>
      <c r="D721" s="26"/>
      <c r="E721" s="26"/>
    </row>
    <row r="722" spans="1:5" s="16" customFormat="1" ht="12.95" customHeight="1">
      <c r="A722" s="26" t="s">
        <v>4074</v>
      </c>
      <c r="B722" s="26"/>
      <c r="C722" s="26" t="s">
        <v>4075</v>
      </c>
      <c r="D722" s="26"/>
      <c r="E722" s="26"/>
    </row>
    <row r="723" spans="1:5" s="16" customFormat="1" ht="12.95" customHeight="1">
      <c r="A723" s="26" t="s">
        <v>4076</v>
      </c>
      <c r="B723" s="26"/>
      <c r="C723" s="26" t="s">
        <v>4077</v>
      </c>
      <c r="D723" s="26"/>
      <c r="E723" s="26"/>
    </row>
    <row r="724" spans="1:5" s="16" customFormat="1" ht="12.95" customHeight="1">
      <c r="A724" s="26" t="s">
        <v>4078</v>
      </c>
      <c r="B724" s="26"/>
      <c r="C724" s="26" t="s">
        <v>4079</v>
      </c>
      <c r="D724" s="26"/>
      <c r="E724" s="26"/>
    </row>
    <row r="725" spans="1:5" s="16" customFormat="1" ht="12.95" customHeight="1">
      <c r="A725" s="26" t="s">
        <v>4080</v>
      </c>
      <c r="B725" s="26"/>
      <c r="C725" s="26" t="s">
        <v>4075</v>
      </c>
      <c r="D725" s="26"/>
      <c r="E725" s="26"/>
    </row>
    <row r="726" spans="1:5" s="16" customFormat="1" ht="12.95" customHeight="1">
      <c r="A726" s="26" t="s">
        <v>4081</v>
      </c>
      <c r="B726" s="26"/>
      <c r="C726" s="26" t="s">
        <v>4077</v>
      </c>
      <c r="D726" s="26"/>
      <c r="E726" s="26"/>
    </row>
    <row r="727" spans="1:5" s="16" customFormat="1" ht="12.95" customHeight="1">
      <c r="A727" s="26" t="s">
        <v>4082</v>
      </c>
      <c r="B727" s="26"/>
      <c r="C727" s="26" t="s">
        <v>4083</v>
      </c>
      <c r="D727" s="26"/>
      <c r="E727" s="26"/>
    </row>
    <row r="728" spans="1:5" s="16" customFormat="1" ht="12.95" customHeight="1">
      <c r="A728" s="26" t="s">
        <v>4084</v>
      </c>
      <c r="B728" s="26"/>
      <c r="C728" s="26" t="s">
        <v>4085</v>
      </c>
      <c r="D728" s="26"/>
      <c r="E728" s="26"/>
    </row>
    <row r="729" spans="1:5" s="16" customFormat="1" ht="12.95" customHeight="1">
      <c r="A729" s="26" t="s">
        <v>4086</v>
      </c>
      <c r="B729" s="26"/>
      <c r="C729" s="26" t="s">
        <v>4087</v>
      </c>
      <c r="D729" s="26"/>
      <c r="E729" s="26"/>
    </row>
    <row r="730" spans="1:5" s="16" customFormat="1" ht="12.95" customHeight="1">
      <c r="A730" s="26" t="s">
        <v>4088</v>
      </c>
      <c r="B730" s="26"/>
      <c r="C730" s="26" t="s">
        <v>4089</v>
      </c>
      <c r="D730" s="26"/>
      <c r="E730" s="26"/>
    </row>
    <row r="731" spans="1:5" s="16" customFormat="1" ht="12.95" customHeight="1">
      <c r="A731" s="26" t="s">
        <v>4088</v>
      </c>
      <c r="B731" s="26"/>
      <c r="C731" s="26" t="s">
        <v>4089</v>
      </c>
      <c r="D731" s="26"/>
      <c r="E731" s="26"/>
    </row>
    <row r="732" spans="1:5" s="16" customFormat="1" ht="12.95" customHeight="1">
      <c r="A732" s="26" t="s">
        <v>4090</v>
      </c>
      <c r="B732" s="26"/>
      <c r="C732" s="26" t="s">
        <v>4091</v>
      </c>
      <c r="D732" s="26"/>
      <c r="E732" s="26"/>
    </row>
    <row r="733" spans="1:5" s="16" customFormat="1" ht="12.95" customHeight="1">
      <c r="A733" s="26" t="s">
        <v>195</v>
      </c>
      <c r="B733" s="26"/>
      <c r="C733" s="26" t="s">
        <v>4092</v>
      </c>
      <c r="D733" s="26"/>
      <c r="E733" s="26"/>
    </row>
    <row r="734" spans="1:5" s="16" customFormat="1" ht="12.95" customHeight="1">
      <c r="A734" s="26" t="s">
        <v>4093</v>
      </c>
      <c r="B734" s="26"/>
      <c r="C734" s="26" t="s">
        <v>4094</v>
      </c>
      <c r="D734" s="26"/>
      <c r="E734" s="26"/>
    </row>
    <row r="735" spans="1:5" s="16" customFormat="1" ht="12.95" customHeight="1">
      <c r="A735" s="26" t="s">
        <v>4095</v>
      </c>
      <c r="B735" s="26"/>
      <c r="C735" s="26" t="s">
        <v>4096</v>
      </c>
      <c r="D735" s="26"/>
      <c r="E735" s="26"/>
    </row>
    <row r="736" spans="1:5" s="16" customFormat="1" ht="12.95" customHeight="1">
      <c r="A736" s="26" t="s">
        <v>4097</v>
      </c>
      <c r="B736" s="26"/>
      <c r="C736" s="26" t="s">
        <v>4098</v>
      </c>
      <c r="D736" s="26"/>
      <c r="E736" s="26"/>
    </row>
    <row r="737" spans="1:5" s="16" customFormat="1" ht="12.95" customHeight="1">
      <c r="A737" s="26" t="s">
        <v>4099</v>
      </c>
      <c r="B737" s="26"/>
      <c r="C737" s="26" t="s">
        <v>4100</v>
      </c>
      <c r="D737" s="26"/>
      <c r="E737" s="26"/>
    </row>
    <row r="738" spans="1:5" s="16" customFormat="1" ht="12.95" customHeight="1">
      <c r="A738" s="26" t="s">
        <v>3507</v>
      </c>
      <c r="B738" s="26"/>
      <c r="C738" s="26" t="s">
        <v>4101</v>
      </c>
      <c r="D738" s="26"/>
      <c r="E738" s="26"/>
    </row>
    <row r="739" spans="1:5" s="16" customFormat="1" ht="12.95" customHeight="1">
      <c r="A739" s="26" t="s">
        <v>332</v>
      </c>
      <c r="B739" s="26"/>
      <c r="C739" s="26" t="s">
        <v>4102</v>
      </c>
      <c r="D739" s="26"/>
      <c r="E739" s="26"/>
    </row>
    <row r="740" spans="1:5" s="16" customFormat="1" ht="12.95" customHeight="1">
      <c r="A740" s="26" t="s">
        <v>555</v>
      </c>
      <c r="B740" s="26"/>
      <c r="C740" s="26" t="s">
        <v>3980</v>
      </c>
      <c r="D740" s="26"/>
      <c r="E740" s="26"/>
    </row>
    <row r="741" spans="1:5" s="16" customFormat="1" ht="12.95" customHeight="1">
      <c r="A741" s="26" t="s">
        <v>4103</v>
      </c>
      <c r="B741" s="26"/>
      <c r="C741" s="26" t="s">
        <v>4104</v>
      </c>
      <c r="D741" s="26"/>
      <c r="E741" s="26"/>
    </row>
    <row r="742" spans="1:5" s="16" customFormat="1" ht="12.95" customHeight="1">
      <c r="A742" s="26" t="s">
        <v>4105</v>
      </c>
      <c r="B742" s="26"/>
      <c r="C742" s="26" t="s">
        <v>4106</v>
      </c>
      <c r="D742" s="26"/>
      <c r="E742" s="26"/>
    </row>
    <row r="743" spans="1:5" s="16" customFormat="1" ht="12.95" customHeight="1">
      <c r="A743" s="26" t="s">
        <v>4107</v>
      </c>
      <c r="B743" s="26"/>
      <c r="C743" s="26" t="s">
        <v>4108</v>
      </c>
      <c r="D743" s="26"/>
      <c r="E743" s="26"/>
    </row>
    <row r="744" spans="1:5" s="16" customFormat="1" ht="12.95" customHeight="1">
      <c r="A744" s="26" t="s">
        <v>4109</v>
      </c>
      <c r="B744" s="26"/>
      <c r="C744" s="26" t="s">
        <v>4110</v>
      </c>
      <c r="D744" s="26"/>
      <c r="E744" s="26"/>
    </row>
    <row r="745" spans="1:5" s="16" customFormat="1" ht="12.95" customHeight="1">
      <c r="A745" s="26" t="s">
        <v>4111</v>
      </c>
      <c r="B745" s="26"/>
      <c r="C745" s="26" t="s">
        <v>4112</v>
      </c>
      <c r="D745" s="26"/>
      <c r="E745" s="26"/>
    </row>
    <row r="746" spans="1:5" s="16" customFormat="1" ht="12.95" customHeight="1">
      <c r="A746" s="26" t="s">
        <v>4113</v>
      </c>
      <c r="B746" s="26"/>
      <c r="C746" s="26" t="s">
        <v>4114</v>
      </c>
      <c r="D746" s="26"/>
      <c r="E746" s="26"/>
    </row>
    <row r="747" spans="1:5" s="16" customFormat="1" ht="12.95" customHeight="1">
      <c r="A747" s="26" t="s">
        <v>4115</v>
      </c>
      <c r="B747" s="26"/>
      <c r="C747" s="26" t="s">
        <v>4116</v>
      </c>
      <c r="D747" s="26"/>
      <c r="E747" s="26"/>
    </row>
    <row r="748" spans="1:5" s="16" customFormat="1" ht="12.95" customHeight="1">
      <c r="A748" s="26" t="s">
        <v>686</v>
      </c>
      <c r="B748" s="26"/>
      <c r="C748" s="26" t="s">
        <v>3980</v>
      </c>
      <c r="D748" s="26"/>
      <c r="E748" s="26"/>
    </row>
    <row r="749" spans="1:5" s="16" customFormat="1" ht="12.95" customHeight="1">
      <c r="A749" s="26" t="s">
        <v>1786</v>
      </c>
      <c r="B749" s="26"/>
      <c r="C749" s="26" t="s">
        <v>4104</v>
      </c>
      <c r="D749" s="26"/>
      <c r="E749" s="26"/>
    </row>
    <row r="750" spans="1:5" s="16" customFormat="1" ht="12.95" customHeight="1">
      <c r="A750" s="26" t="s">
        <v>4117</v>
      </c>
      <c r="B750" s="26"/>
      <c r="C750" s="26" t="s">
        <v>4106</v>
      </c>
      <c r="D750" s="26"/>
      <c r="E750" s="26"/>
    </row>
    <row r="751" spans="1:5" s="16" customFormat="1" ht="12.95" customHeight="1">
      <c r="A751" s="26" t="s">
        <v>4118</v>
      </c>
      <c r="B751" s="26"/>
      <c r="C751" s="26" t="s">
        <v>4108</v>
      </c>
      <c r="D751" s="26"/>
      <c r="E751" s="26"/>
    </row>
    <row r="752" spans="1:5" s="16" customFormat="1" ht="12.95" customHeight="1">
      <c r="A752" s="26" t="s">
        <v>4119</v>
      </c>
      <c r="B752" s="26"/>
      <c r="C752" s="26" t="s">
        <v>4110</v>
      </c>
      <c r="D752" s="26"/>
      <c r="E752" s="26"/>
    </row>
    <row r="753" spans="1:5" s="16" customFormat="1" ht="12.95" customHeight="1">
      <c r="A753" s="26" t="s">
        <v>4120</v>
      </c>
      <c r="B753" s="26"/>
      <c r="C753" s="26" t="s">
        <v>4112</v>
      </c>
      <c r="D753" s="26"/>
      <c r="E753" s="26"/>
    </row>
    <row r="754" spans="1:5" s="16" customFormat="1" ht="12.95" customHeight="1">
      <c r="A754" s="26" t="s">
        <v>4121</v>
      </c>
      <c r="B754" s="26"/>
      <c r="C754" s="26" t="s">
        <v>4114</v>
      </c>
      <c r="D754" s="26"/>
      <c r="E754" s="26"/>
    </row>
    <row r="755" spans="1:5" s="16" customFormat="1" ht="12.95" customHeight="1">
      <c r="A755" s="26" t="s">
        <v>422</v>
      </c>
      <c r="B755" s="26"/>
      <c r="C755" s="26" t="s">
        <v>4122</v>
      </c>
      <c r="D755" s="26"/>
      <c r="E755" s="26"/>
    </row>
    <row r="756" spans="1:5" s="16" customFormat="1" ht="12.95" customHeight="1">
      <c r="A756" s="26" t="s">
        <v>4123</v>
      </c>
      <c r="B756" s="26"/>
      <c r="C756" s="26" t="s">
        <v>4124</v>
      </c>
      <c r="D756" s="26"/>
      <c r="E756" s="26"/>
    </row>
    <row r="757" spans="1:5" s="16" customFormat="1" ht="12.95" customHeight="1">
      <c r="A757" s="26" t="s">
        <v>4125</v>
      </c>
      <c r="B757" s="26"/>
      <c r="C757" s="26" t="s">
        <v>4126</v>
      </c>
      <c r="D757" s="26"/>
      <c r="E757" s="26"/>
    </row>
    <row r="758" spans="1:5" s="16" customFormat="1" ht="12.95" customHeight="1">
      <c r="A758" s="26" t="s">
        <v>4127</v>
      </c>
      <c r="B758" s="26"/>
      <c r="C758" s="26" t="s">
        <v>4128</v>
      </c>
      <c r="D758" s="26"/>
      <c r="E758" s="26"/>
    </row>
    <row r="759" spans="1:5" s="16" customFormat="1" ht="12.95" customHeight="1">
      <c r="A759" s="26" t="s">
        <v>1053</v>
      </c>
      <c r="B759" s="26"/>
      <c r="C759" s="26" t="s">
        <v>3980</v>
      </c>
      <c r="D759" s="26"/>
      <c r="E759" s="26"/>
    </row>
    <row r="760" spans="1:5" s="16" customFormat="1" ht="12.95" customHeight="1">
      <c r="A760" s="26" t="s">
        <v>4129</v>
      </c>
      <c r="B760" s="26"/>
      <c r="C760" s="26" t="s">
        <v>4126</v>
      </c>
      <c r="D760" s="26"/>
      <c r="E760" s="26"/>
    </row>
    <row r="761" spans="1:5" s="16" customFormat="1" ht="12.95" customHeight="1">
      <c r="A761" s="26" t="s">
        <v>4130</v>
      </c>
      <c r="B761" s="26"/>
      <c r="C761" s="26" t="s">
        <v>4131</v>
      </c>
      <c r="D761" s="26"/>
      <c r="E761" s="26"/>
    </row>
    <row r="762" spans="1:5" s="16" customFormat="1" ht="12.95" customHeight="1">
      <c r="A762" s="26" t="s">
        <v>4132</v>
      </c>
      <c r="B762" s="26"/>
      <c r="C762" s="26" t="s">
        <v>4133</v>
      </c>
      <c r="D762" s="26"/>
      <c r="E762" s="26"/>
    </row>
    <row r="763" spans="1:5" s="16" customFormat="1" ht="12.95" customHeight="1">
      <c r="A763" s="26" t="s">
        <v>4134</v>
      </c>
      <c r="B763" s="26"/>
      <c r="C763" s="26" t="s">
        <v>4135</v>
      </c>
      <c r="D763" s="26"/>
      <c r="E763" s="26"/>
    </row>
    <row r="764" spans="1:5" s="16" customFormat="1" ht="12.95" customHeight="1">
      <c r="A764" s="26" t="s">
        <v>4136</v>
      </c>
      <c r="B764" s="26"/>
      <c r="C764" s="26" t="s">
        <v>4137</v>
      </c>
      <c r="D764" s="26"/>
      <c r="E764" s="26"/>
    </row>
    <row r="765" spans="1:5" s="16" customFormat="1" ht="12.95" customHeight="1">
      <c r="A765" s="26" t="s">
        <v>457</v>
      </c>
      <c r="B765" s="26"/>
      <c r="C765" s="26" t="s">
        <v>4138</v>
      </c>
      <c r="D765" s="26"/>
      <c r="E765" s="26"/>
    </row>
    <row r="766" spans="1:5" s="16" customFormat="1" ht="12.95" customHeight="1">
      <c r="A766" s="26" t="s">
        <v>2607</v>
      </c>
      <c r="B766" s="26"/>
      <c r="C766" s="26" t="s">
        <v>4138</v>
      </c>
      <c r="D766" s="26"/>
      <c r="E766" s="26"/>
    </row>
    <row r="767" spans="1:5" s="16" customFormat="1" ht="12.95" customHeight="1">
      <c r="A767" s="26" t="s">
        <v>4139</v>
      </c>
      <c r="B767" s="26"/>
      <c r="C767" s="26" t="s">
        <v>4140</v>
      </c>
      <c r="D767" s="26"/>
      <c r="E767" s="26"/>
    </row>
    <row r="768" spans="1:5" s="16" customFormat="1" ht="12.95" customHeight="1">
      <c r="A768" s="26" t="s">
        <v>4141</v>
      </c>
      <c r="B768" s="26"/>
      <c r="C768" s="26" t="s">
        <v>4135</v>
      </c>
      <c r="D768" s="26"/>
      <c r="E768" s="26"/>
    </row>
    <row r="769" spans="1:5" s="16" customFormat="1" ht="12.95" customHeight="1">
      <c r="A769" s="26" t="s">
        <v>4142</v>
      </c>
      <c r="B769" s="26"/>
      <c r="C769" s="26" t="s">
        <v>4143</v>
      </c>
      <c r="D769" s="26"/>
      <c r="E769" s="26"/>
    </row>
    <row r="770" spans="1:5" s="16" customFormat="1" ht="12.95" customHeight="1">
      <c r="A770" s="26" t="s">
        <v>4144</v>
      </c>
      <c r="B770" s="26"/>
      <c r="C770" s="26" t="s">
        <v>4145</v>
      </c>
      <c r="D770" s="26"/>
      <c r="E770" s="26"/>
    </row>
    <row r="771" spans="1:5" s="16" customFormat="1" ht="12.95" customHeight="1">
      <c r="A771" s="26" t="s">
        <v>4146</v>
      </c>
      <c r="B771" s="26"/>
      <c r="C771" s="26" t="s">
        <v>4138</v>
      </c>
      <c r="D771" s="26"/>
      <c r="E771" s="26"/>
    </row>
    <row r="772" spans="1:5" s="16" customFormat="1" ht="12.95" customHeight="1">
      <c r="A772" s="26" t="s">
        <v>4147</v>
      </c>
      <c r="B772" s="26"/>
      <c r="C772" s="26" t="s">
        <v>4148</v>
      </c>
      <c r="D772" s="26"/>
      <c r="E772" s="26"/>
    </row>
    <row r="773" spans="1:5" s="16" customFormat="1" ht="12.95" customHeight="1">
      <c r="A773" s="26" t="s">
        <v>4149</v>
      </c>
      <c r="B773" s="26"/>
      <c r="C773" s="26" t="s">
        <v>4150</v>
      </c>
      <c r="D773" s="26"/>
      <c r="E773" s="26"/>
    </row>
    <row r="774" spans="1:5" s="16" customFormat="1" ht="12.95" customHeight="1">
      <c r="A774" s="26" t="s">
        <v>4151</v>
      </c>
      <c r="B774" s="26"/>
      <c r="C774" s="26" t="s">
        <v>4152</v>
      </c>
      <c r="D774" s="26"/>
      <c r="E774" s="26"/>
    </row>
    <row r="775" spans="1:5" s="16" customFormat="1" ht="12.95" customHeight="1">
      <c r="A775" s="26" t="s">
        <v>4153</v>
      </c>
      <c r="B775" s="26"/>
      <c r="C775" s="26" t="s">
        <v>4150</v>
      </c>
      <c r="D775" s="26"/>
      <c r="E775" s="26"/>
    </row>
    <row r="776" spans="1:5" s="16" customFormat="1" ht="12.95" customHeight="1">
      <c r="A776" s="26" t="s">
        <v>4154</v>
      </c>
      <c r="B776" s="26"/>
      <c r="C776" s="26" t="s">
        <v>4155</v>
      </c>
      <c r="D776" s="26"/>
      <c r="E776" s="26"/>
    </row>
    <row r="777" spans="1:5" s="16" customFormat="1" ht="12.95" customHeight="1">
      <c r="A777" s="26" t="s">
        <v>4156</v>
      </c>
      <c r="B777" s="26"/>
      <c r="C777" s="26" t="s">
        <v>4157</v>
      </c>
      <c r="D777" s="26"/>
      <c r="E777" s="26"/>
    </row>
    <row r="778" spans="1:5" s="16" customFormat="1" ht="12.95" customHeight="1">
      <c r="A778" s="26" t="s">
        <v>4158</v>
      </c>
      <c r="B778" s="26"/>
      <c r="C778" s="26" t="s">
        <v>4159</v>
      </c>
      <c r="D778" s="26"/>
      <c r="E778" s="26"/>
    </row>
    <row r="779" spans="1:5" s="16" customFormat="1" ht="12.95" customHeight="1">
      <c r="A779" s="26" t="s">
        <v>4160</v>
      </c>
      <c r="B779" s="26"/>
      <c r="C779" s="26" t="s">
        <v>4161</v>
      </c>
      <c r="D779" s="26"/>
      <c r="E779" s="26"/>
    </row>
    <row r="780" spans="1:5" s="16" customFormat="1" ht="12.95" customHeight="1">
      <c r="A780" s="26" t="s">
        <v>4162</v>
      </c>
      <c r="B780" s="26"/>
      <c r="C780" s="26" t="s">
        <v>4163</v>
      </c>
      <c r="D780" s="26"/>
      <c r="E780" s="26"/>
    </row>
    <row r="781" spans="1:5" s="16" customFormat="1" ht="12.95" customHeight="1">
      <c r="A781" s="26" t="s">
        <v>4164</v>
      </c>
      <c r="B781" s="26"/>
      <c r="C781" s="26" t="s">
        <v>4165</v>
      </c>
      <c r="D781" s="26"/>
      <c r="E781" s="26"/>
    </row>
    <row r="782" spans="1:5" s="16" customFormat="1" ht="12.95" customHeight="1">
      <c r="A782" s="26" t="s">
        <v>4166</v>
      </c>
      <c r="B782" s="26"/>
      <c r="C782" s="26" t="s">
        <v>4167</v>
      </c>
      <c r="D782" s="26"/>
      <c r="E782" s="26"/>
    </row>
    <row r="783" spans="1:5" s="16" customFormat="1" ht="12.95" customHeight="1">
      <c r="A783" s="26" t="s">
        <v>4168</v>
      </c>
      <c r="B783" s="26"/>
      <c r="C783" s="26" t="s">
        <v>4165</v>
      </c>
      <c r="D783" s="26"/>
      <c r="E783" s="26"/>
    </row>
    <row r="784" spans="1:5" s="16" customFormat="1" ht="12.95" customHeight="1">
      <c r="A784" s="26" t="s">
        <v>4169</v>
      </c>
      <c r="B784" s="26"/>
      <c r="C784" s="26" t="s">
        <v>4170</v>
      </c>
      <c r="D784" s="26"/>
      <c r="E784" s="26"/>
    </row>
    <row r="785" spans="1:5" s="16" customFormat="1" ht="12.95" customHeight="1">
      <c r="A785" s="26" t="s">
        <v>4169</v>
      </c>
      <c r="B785" s="26"/>
      <c r="C785" s="26" t="s">
        <v>4170</v>
      </c>
      <c r="D785" s="26"/>
      <c r="E785" s="26"/>
    </row>
    <row r="786" spans="1:5" s="16" customFormat="1" ht="12.95" customHeight="1">
      <c r="A786" s="26" t="s">
        <v>4171</v>
      </c>
      <c r="B786" s="26"/>
      <c r="C786" s="26" t="s">
        <v>4172</v>
      </c>
      <c r="D786" s="26"/>
      <c r="E786" s="26"/>
    </row>
    <row r="787" spans="1:5" s="16" customFormat="1" ht="12.95" customHeight="1">
      <c r="A787" s="26" t="s">
        <v>4173</v>
      </c>
      <c r="B787" s="26"/>
      <c r="C787" s="26" t="s">
        <v>4174</v>
      </c>
      <c r="D787" s="26"/>
      <c r="E787" s="26"/>
    </row>
    <row r="788" spans="1:5" s="16" customFormat="1" ht="12.95" customHeight="1">
      <c r="A788" s="26" t="s">
        <v>4175</v>
      </c>
      <c r="B788" s="26"/>
      <c r="C788" s="26" t="s">
        <v>4176</v>
      </c>
      <c r="D788" s="26"/>
      <c r="E788" s="26"/>
    </row>
    <row r="789" spans="1:5" s="16" customFormat="1" ht="12.95" customHeight="1">
      <c r="A789" s="26" t="s">
        <v>4177</v>
      </c>
      <c r="B789" s="26"/>
      <c r="C789" s="26" t="s">
        <v>4178</v>
      </c>
      <c r="D789" s="26"/>
      <c r="E789" s="26"/>
    </row>
    <row r="790" spans="1:5" s="16" customFormat="1" ht="12.95" customHeight="1">
      <c r="A790" s="26" t="s">
        <v>4179</v>
      </c>
      <c r="B790" s="26"/>
      <c r="C790" s="26" t="s">
        <v>4180</v>
      </c>
      <c r="D790" s="26"/>
      <c r="E790" s="26"/>
    </row>
    <row r="791" spans="1:5" s="16" customFormat="1" ht="12.95" customHeight="1">
      <c r="A791" s="26" t="s">
        <v>4181</v>
      </c>
      <c r="B791" s="26"/>
      <c r="C791" s="26" t="s">
        <v>4182</v>
      </c>
      <c r="D791" s="26"/>
      <c r="E791" s="26"/>
    </row>
    <row r="792" spans="1:5" s="16" customFormat="1" ht="12.95" customHeight="1">
      <c r="A792" s="26" t="s">
        <v>4183</v>
      </c>
      <c r="B792" s="26"/>
      <c r="C792" s="26" t="s">
        <v>4182</v>
      </c>
      <c r="D792" s="26"/>
      <c r="E792" s="26"/>
    </row>
    <row r="793" spans="1:5" s="16" customFormat="1" ht="12.95" customHeight="1">
      <c r="A793" s="26" t="s">
        <v>4184</v>
      </c>
      <c r="B793" s="26"/>
      <c r="C793" s="26" t="s">
        <v>4185</v>
      </c>
      <c r="D793" s="26"/>
      <c r="E793" s="26"/>
    </row>
    <row r="794" spans="1:5" s="16" customFormat="1" ht="12.95" customHeight="1">
      <c r="A794" s="26" t="s">
        <v>4186</v>
      </c>
      <c r="B794" s="26"/>
      <c r="C794" s="26" t="s">
        <v>4187</v>
      </c>
      <c r="D794" s="26"/>
      <c r="E794" s="26"/>
    </row>
    <row r="795" spans="1:5" s="16" customFormat="1" ht="12.95" customHeight="1">
      <c r="A795" s="26" t="s">
        <v>4188</v>
      </c>
      <c r="B795" s="26"/>
      <c r="C795" s="26" t="s">
        <v>4189</v>
      </c>
      <c r="D795" s="26"/>
      <c r="E795" s="26"/>
    </row>
  </sheetData>
  <mergeCells count="261">
    <mergeCell ref="A795:B795"/>
    <mergeCell ref="C795:E795"/>
    <mergeCell ref="A790:B790"/>
    <mergeCell ref="C790:E790"/>
    <mergeCell ref="A791:B791"/>
    <mergeCell ref="C791:E791"/>
    <mergeCell ref="A792:B792"/>
    <mergeCell ref="C792:E792"/>
    <mergeCell ref="A793:B793"/>
    <mergeCell ref="C793:E793"/>
    <mergeCell ref="A794:B794"/>
    <mergeCell ref="C794:E794"/>
    <mergeCell ref="A785:B785"/>
    <mergeCell ref="C785:E785"/>
    <mergeCell ref="A786:B786"/>
    <mergeCell ref="C786:E786"/>
    <mergeCell ref="A787:B787"/>
    <mergeCell ref="C787:E787"/>
    <mergeCell ref="A788:B788"/>
    <mergeCell ref="C788:E788"/>
    <mergeCell ref="A789:B789"/>
    <mergeCell ref="C789:E789"/>
    <mergeCell ref="A780:B780"/>
    <mergeCell ref="C780:E780"/>
    <mergeCell ref="A781:B781"/>
    <mergeCell ref="C781:E781"/>
    <mergeCell ref="A782:B782"/>
    <mergeCell ref="C782:E782"/>
    <mergeCell ref="A783:B783"/>
    <mergeCell ref="C783:E783"/>
    <mergeCell ref="A784:B784"/>
    <mergeCell ref="C784:E784"/>
    <mergeCell ref="A775:B775"/>
    <mergeCell ref="C775:E775"/>
    <mergeCell ref="A776:B776"/>
    <mergeCell ref="C776:E776"/>
    <mergeCell ref="A777:B777"/>
    <mergeCell ref="C777:E777"/>
    <mergeCell ref="A778:B778"/>
    <mergeCell ref="C778:E778"/>
    <mergeCell ref="A779:B779"/>
    <mergeCell ref="C779:E779"/>
    <mergeCell ref="A770:B770"/>
    <mergeCell ref="C770:E770"/>
    <mergeCell ref="A771:B771"/>
    <mergeCell ref="C771:E771"/>
    <mergeCell ref="A772:B772"/>
    <mergeCell ref="C772:E772"/>
    <mergeCell ref="A773:B773"/>
    <mergeCell ref="C773:E773"/>
    <mergeCell ref="A774:B774"/>
    <mergeCell ref="C774:E774"/>
    <mergeCell ref="A765:B765"/>
    <mergeCell ref="C765:E765"/>
    <mergeCell ref="A766:B766"/>
    <mergeCell ref="C766:E766"/>
    <mergeCell ref="A767:B767"/>
    <mergeCell ref="C767:E767"/>
    <mergeCell ref="A768:B768"/>
    <mergeCell ref="C768:E768"/>
    <mergeCell ref="A769:B769"/>
    <mergeCell ref="C769:E769"/>
    <mergeCell ref="A760:B760"/>
    <mergeCell ref="C760:E760"/>
    <mergeCell ref="A761:B761"/>
    <mergeCell ref="C761:E761"/>
    <mergeCell ref="A762:B762"/>
    <mergeCell ref="C762:E762"/>
    <mergeCell ref="A763:B763"/>
    <mergeCell ref="C763:E763"/>
    <mergeCell ref="A764:B764"/>
    <mergeCell ref="C764:E764"/>
    <mergeCell ref="A755:B755"/>
    <mergeCell ref="C755:E755"/>
    <mergeCell ref="A756:B756"/>
    <mergeCell ref="C756:E756"/>
    <mergeCell ref="A757:B757"/>
    <mergeCell ref="C757:E757"/>
    <mergeCell ref="A758:B758"/>
    <mergeCell ref="C758:E758"/>
    <mergeCell ref="A759:B759"/>
    <mergeCell ref="C759:E759"/>
    <mergeCell ref="A750:B750"/>
    <mergeCell ref="C750:E750"/>
    <mergeCell ref="A751:B751"/>
    <mergeCell ref="C751:E751"/>
    <mergeCell ref="A752:B752"/>
    <mergeCell ref="C752:E752"/>
    <mergeCell ref="A753:B753"/>
    <mergeCell ref="C753:E753"/>
    <mergeCell ref="A754:B754"/>
    <mergeCell ref="C754:E754"/>
    <mergeCell ref="A745:B745"/>
    <mergeCell ref="C745:E745"/>
    <mergeCell ref="A746:B746"/>
    <mergeCell ref="C746:E746"/>
    <mergeCell ref="A747:B747"/>
    <mergeCell ref="C747:E747"/>
    <mergeCell ref="A748:B748"/>
    <mergeCell ref="C748:E748"/>
    <mergeCell ref="A749:B749"/>
    <mergeCell ref="C749:E749"/>
    <mergeCell ref="A740:B740"/>
    <mergeCell ref="C740:E740"/>
    <mergeCell ref="A741:B741"/>
    <mergeCell ref="C741:E741"/>
    <mergeCell ref="A742:B742"/>
    <mergeCell ref="C742:E742"/>
    <mergeCell ref="A743:B743"/>
    <mergeCell ref="C743:E743"/>
    <mergeCell ref="A744:B744"/>
    <mergeCell ref="C744:E744"/>
    <mergeCell ref="A735:B735"/>
    <mergeCell ref="C735:E735"/>
    <mergeCell ref="A736:B736"/>
    <mergeCell ref="C736:E736"/>
    <mergeCell ref="A737:B737"/>
    <mergeCell ref="C737:E737"/>
    <mergeCell ref="A738:B738"/>
    <mergeCell ref="C738:E738"/>
    <mergeCell ref="A739:B739"/>
    <mergeCell ref="C739:E739"/>
    <mergeCell ref="A730:B730"/>
    <mergeCell ref="C730:E730"/>
    <mergeCell ref="A731:B731"/>
    <mergeCell ref="C731:E731"/>
    <mergeCell ref="A732:B732"/>
    <mergeCell ref="C732:E732"/>
    <mergeCell ref="A733:B733"/>
    <mergeCell ref="C733:E733"/>
    <mergeCell ref="A734:B734"/>
    <mergeCell ref="C734:E734"/>
    <mergeCell ref="A725:B725"/>
    <mergeCell ref="C725:E725"/>
    <mergeCell ref="A726:B726"/>
    <mergeCell ref="C726:E726"/>
    <mergeCell ref="A727:B727"/>
    <mergeCell ref="C727:E727"/>
    <mergeCell ref="A728:B728"/>
    <mergeCell ref="C728:E728"/>
    <mergeCell ref="A729:B729"/>
    <mergeCell ref="C729:E729"/>
    <mergeCell ref="A720:B720"/>
    <mergeCell ref="C720:E720"/>
    <mergeCell ref="A721:B721"/>
    <mergeCell ref="C721:E721"/>
    <mergeCell ref="A722:B722"/>
    <mergeCell ref="C722:E722"/>
    <mergeCell ref="A723:B723"/>
    <mergeCell ref="C723:E723"/>
    <mergeCell ref="A724:B724"/>
    <mergeCell ref="C724:E724"/>
    <mergeCell ref="A715:B715"/>
    <mergeCell ref="C715:E715"/>
    <mergeCell ref="A716:B716"/>
    <mergeCell ref="C716:E716"/>
    <mergeCell ref="A717:B717"/>
    <mergeCell ref="C717:E717"/>
    <mergeCell ref="A718:B718"/>
    <mergeCell ref="C718:E718"/>
    <mergeCell ref="A719:B719"/>
    <mergeCell ref="C719:E719"/>
    <mergeCell ref="A710:B710"/>
    <mergeCell ref="C710:E710"/>
    <mergeCell ref="A711:B711"/>
    <mergeCell ref="C711:E711"/>
    <mergeCell ref="A712:B712"/>
    <mergeCell ref="C712:E712"/>
    <mergeCell ref="A713:B713"/>
    <mergeCell ref="C713:E713"/>
    <mergeCell ref="A714:B714"/>
    <mergeCell ref="C714:E714"/>
    <mergeCell ref="A705:B705"/>
    <mergeCell ref="C705:E705"/>
    <mergeCell ref="A706:B706"/>
    <mergeCell ref="C706:E706"/>
    <mergeCell ref="A707:B707"/>
    <mergeCell ref="C707:E707"/>
    <mergeCell ref="A708:B708"/>
    <mergeCell ref="C708:E708"/>
    <mergeCell ref="A709:B709"/>
    <mergeCell ref="C709:E709"/>
    <mergeCell ref="A700:B700"/>
    <mergeCell ref="C700:E700"/>
    <mergeCell ref="A701:B701"/>
    <mergeCell ref="C701:E701"/>
    <mergeCell ref="A702:B702"/>
    <mergeCell ref="C702:E702"/>
    <mergeCell ref="A703:B703"/>
    <mergeCell ref="C703:E703"/>
    <mergeCell ref="A704:B704"/>
    <mergeCell ref="C704:E704"/>
    <mergeCell ref="A695:B695"/>
    <mergeCell ref="C695:E695"/>
    <mergeCell ref="A696:B696"/>
    <mergeCell ref="C696:E696"/>
    <mergeCell ref="A697:B697"/>
    <mergeCell ref="C697:E697"/>
    <mergeCell ref="A698:B698"/>
    <mergeCell ref="C698:E698"/>
    <mergeCell ref="A699:B699"/>
    <mergeCell ref="C699:E699"/>
    <mergeCell ref="A690:B690"/>
    <mergeCell ref="C690:E690"/>
    <mergeCell ref="A691:B691"/>
    <mergeCell ref="C691:E691"/>
    <mergeCell ref="A692:B692"/>
    <mergeCell ref="C692:E692"/>
    <mergeCell ref="A693:B693"/>
    <mergeCell ref="C693:E693"/>
    <mergeCell ref="A694:B694"/>
    <mergeCell ref="C694:E694"/>
    <mergeCell ref="A685:B685"/>
    <mergeCell ref="C685:E685"/>
    <mergeCell ref="A686:B686"/>
    <mergeCell ref="C686:E686"/>
    <mergeCell ref="A687:B687"/>
    <mergeCell ref="C687:E687"/>
    <mergeCell ref="A688:B688"/>
    <mergeCell ref="C688:E688"/>
    <mergeCell ref="A689:B689"/>
    <mergeCell ref="C689:E689"/>
    <mergeCell ref="A680:B680"/>
    <mergeCell ref="C680:E680"/>
    <mergeCell ref="A681:B681"/>
    <mergeCell ref="C681:E681"/>
    <mergeCell ref="A682:B682"/>
    <mergeCell ref="C682:E682"/>
    <mergeCell ref="A683:B683"/>
    <mergeCell ref="C683:E683"/>
    <mergeCell ref="A684:B684"/>
    <mergeCell ref="C684:E684"/>
    <mergeCell ref="A675:B675"/>
    <mergeCell ref="C675:E675"/>
    <mergeCell ref="A676:B676"/>
    <mergeCell ref="C676:E676"/>
    <mergeCell ref="A677:B677"/>
    <mergeCell ref="C677:E677"/>
    <mergeCell ref="A678:B678"/>
    <mergeCell ref="C678:E678"/>
    <mergeCell ref="A679:B679"/>
    <mergeCell ref="C679:E679"/>
    <mergeCell ref="A670:B670"/>
    <mergeCell ref="C670:E670"/>
    <mergeCell ref="A671:B671"/>
    <mergeCell ref="C671:E671"/>
    <mergeCell ref="A672:B672"/>
    <mergeCell ref="C672:E672"/>
    <mergeCell ref="A673:B673"/>
    <mergeCell ref="C673:E673"/>
    <mergeCell ref="A674:B674"/>
    <mergeCell ref="C674:E674"/>
    <mergeCell ref="A1:E1"/>
    <mergeCell ref="F1:I5"/>
    <mergeCell ref="J1:O1"/>
    <mergeCell ref="A2:E2"/>
    <mergeCell ref="J2:O5"/>
    <mergeCell ref="A3:E3"/>
    <mergeCell ref="A4:E4"/>
    <mergeCell ref="A5:E5"/>
    <mergeCell ref="A668:B668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2023-10-30T22:11:21Z</dcterms:modified>
</cp:coreProperties>
</file>